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66244952-C715-428B-AF53-3F5993EFBD9D}" xr6:coauthVersionLast="47" xr6:coauthVersionMax="47" xr10:uidLastSave="{00000000-0000-0000-0000-000000000000}"/>
  <bookViews>
    <workbookView xWindow="-120" yWindow="-120" windowWidth="29040" windowHeight="15720" tabRatio="867" xr2:uid="{00000000-000D-0000-FFFF-FFFF00000000}"/>
  </bookViews>
  <sheets>
    <sheet name="基本情報入力シート" sheetId="73" r:id="rId1"/>
    <sheet name="別紙様式2-1 （総括表）" sheetId="105" r:id="rId2"/>
    <sheet name="別紙様式2-2（個票（４、５月））" sheetId="106" r:id="rId3"/>
    <sheet name="別紙様式2-3（個票（６月以降））" sheetId="103"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'別紙様式2-2（個票（４、５月））'!$BF$12:$BF$13</definedName>
    <definedName name="_xlnm._FilterDatabase" localSheetId="3" hidden="1">'別紙様式2-3（個票（６月以降））'!$BI$12:$BI$13</definedName>
    <definedName name="_xlnm.Print_Area" localSheetId="0">基本情報入力シート!$A$1:$AG$54</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'別紙様式2-2（個票（４、５月））'!$A$1:$AM$21</definedName>
    <definedName name="_xlnm.Print_Area" localSheetId="3">'別紙様式2-3（個票（６月以降））'!$A$1:$AM$21</definedName>
    <definedName name="_xlnm.Print_Titles" localSheetId="2">'別紙様式2-2（個票（４、５月））'!$11:$12</definedName>
    <definedName name="_xlnm.Print_Titles" localSheetId="3">'別紙様式2-3（個票（６月以降））'!$11:$12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R14" i="103" l="1"/>
  <c r="BR15" i="103"/>
  <c r="BR16" i="103"/>
  <c r="BR17" i="103"/>
  <c r="BR18" i="103"/>
  <c r="BR19" i="103"/>
  <c r="BR20" i="103"/>
  <c r="BR21" i="103"/>
  <c r="BR22" i="103"/>
  <c r="BR23" i="103"/>
  <c r="BR24" i="103"/>
  <c r="BR25" i="103"/>
  <c r="BR26" i="103"/>
  <c r="BR27" i="103"/>
  <c r="BR28" i="103"/>
  <c r="BR29" i="103"/>
  <c r="BR30" i="103"/>
  <c r="BR31" i="103"/>
  <c r="BR32" i="103"/>
  <c r="BR33" i="103"/>
  <c r="BR34" i="103"/>
  <c r="BR35" i="103"/>
  <c r="BR36" i="103"/>
  <c r="BR37" i="103"/>
  <c r="BR38" i="103"/>
  <c r="BR39" i="103"/>
  <c r="BR40" i="103"/>
  <c r="BR41" i="103"/>
  <c r="BR42" i="103"/>
  <c r="BR43" i="103"/>
  <c r="BR44" i="103"/>
  <c r="BR45" i="103"/>
  <c r="BR46" i="103"/>
  <c r="BR47" i="103"/>
  <c r="BR48" i="103"/>
  <c r="BR49" i="103"/>
  <c r="BR50" i="103"/>
  <c r="BR51" i="103"/>
  <c r="BR52" i="103"/>
  <c r="BR53" i="103"/>
  <c r="BR54" i="103"/>
  <c r="BR55" i="103"/>
  <c r="BR56" i="103"/>
  <c r="BR57" i="103"/>
  <c r="BR58" i="103"/>
  <c r="BR59" i="103"/>
  <c r="BR60" i="103"/>
  <c r="BR61" i="103"/>
  <c r="BR62" i="103"/>
  <c r="BR63" i="103"/>
  <c r="BR64" i="103"/>
  <c r="BR65" i="103"/>
  <c r="BR66" i="103"/>
  <c r="BR67" i="103"/>
  <c r="BR68" i="103"/>
  <c r="BR69" i="103"/>
  <c r="BR70" i="103"/>
  <c r="BR71" i="103"/>
  <c r="BR72" i="103"/>
  <c r="BR73" i="103"/>
  <c r="BR74" i="103"/>
  <c r="BR75" i="103"/>
  <c r="BR76" i="103"/>
  <c r="BR77" i="103"/>
  <c r="BR78" i="103"/>
  <c r="BR79" i="103"/>
  <c r="BR80" i="103"/>
  <c r="BR81" i="103"/>
  <c r="BR82" i="103"/>
  <c r="BR83" i="103"/>
  <c r="BR84" i="103"/>
  <c r="BR85" i="103"/>
  <c r="BR86" i="103"/>
  <c r="BR87" i="103"/>
  <c r="BR88" i="103"/>
  <c r="BR89" i="103"/>
  <c r="BR90" i="103"/>
  <c r="BR91" i="103"/>
  <c r="BR92" i="103"/>
  <c r="BR93" i="103"/>
  <c r="BR94" i="103"/>
  <c r="BR95" i="103"/>
  <c r="BR96" i="103"/>
  <c r="BR97" i="103"/>
  <c r="BR98" i="103"/>
  <c r="BR99" i="103"/>
  <c r="BR100" i="103"/>
  <c r="BR101" i="103"/>
  <c r="BR102" i="103"/>
  <c r="BR103" i="103"/>
  <c r="BR104" i="103"/>
  <c r="BR105" i="103"/>
  <c r="BR106" i="103"/>
  <c r="BR107" i="103"/>
  <c r="BR108" i="103"/>
  <c r="BR109" i="103"/>
  <c r="BR110" i="103"/>
  <c r="BR111" i="103"/>
  <c r="BR112" i="103"/>
  <c r="BR113" i="103"/>
  <c r="BR13" i="103"/>
  <c r="AK145" i="105"/>
  <c r="AI58" i="105"/>
  <c r="AI10" i="106" l="1"/>
  <c r="AI10" i="103"/>
  <c r="AK61" i="105"/>
  <c r="BA84" i="105"/>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E13" i="103"/>
  <c r="BP14" i="103"/>
  <c r="BP15" i="103"/>
  <c r="BP16" i="103"/>
  <c r="BP17" i="103"/>
  <c r="BP18" i="103"/>
  <c r="BP21" i="103"/>
  <c r="BP22" i="103"/>
  <c r="BP23" i="103"/>
  <c r="BP24" i="103"/>
  <c r="BP25" i="103"/>
  <c r="BP26" i="103"/>
  <c r="BP27" i="103"/>
  <c r="BP28" i="103"/>
  <c r="BP29" i="103"/>
  <c r="BP30"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S14" i="103" l="1"/>
  <c r="BS15" i="103"/>
  <c r="BS16" i="103"/>
  <c r="BS17" i="103"/>
  <c r="BS18" i="103"/>
  <c r="BT18" i="103" s="1"/>
  <c r="BV18" i="103" s="1"/>
  <c r="BS19" i="103"/>
  <c r="BT19" i="103" s="1"/>
  <c r="BS21" i="103"/>
  <c r="BT21" i="103" s="1"/>
  <c r="BS22" i="103"/>
  <c r="BS23" i="103"/>
  <c r="BS24" i="103"/>
  <c r="BS25" i="103"/>
  <c r="BS26" i="103"/>
  <c r="BS27" i="103"/>
  <c r="BT27" i="103" s="1"/>
  <c r="BS28" i="103"/>
  <c r="BT28" i="103" s="1"/>
  <c r="BS29" i="103"/>
  <c r="BT29" i="103" s="1"/>
  <c r="BS30" i="103"/>
  <c r="BS31" i="103"/>
  <c r="BS32" i="103"/>
  <c r="BS33" i="103"/>
  <c r="BS34" i="103"/>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S114" i="103"/>
  <c r="BS13" i="103"/>
  <c r="BN14" i="103"/>
  <c r="BN15" i="103"/>
  <c r="BN16" i="103"/>
  <c r="BN17" i="103"/>
  <c r="BN18" i="103"/>
  <c r="BN19" i="103"/>
  <c r="BP19" i="103" s="1"/>
  <c r="BN21" i="103"/>
  <c r="BN22" i="103"/>
  <c r="BN23" i="103"/>
  <c r="BN24" i="103"/>
  <c r="BN25" i="103"/>
  <c r="BN26" i="103"/>
  <c r="BN27" i="103"/>
  <c r="BN28" i="103"/>
  <c r="BN29" i="103"/>
  <c r="BN30"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N114" i="103"/>
  <c r="BN13" i="103"/>
  <c r="BU22" i="103"/>
  <c r="BU30" i="103"/>
  <c r="BU38" i="103"/>
  <c r="BT15" i="103"/>
  <c r="BU15" i="103" s="1"/>
  <c r="BT16" i="103"/>
  <c r="BV16" i="103" s="1"/>
  <c r="BT17" i="103"/>
  <c r="BV17" i="103" s="1"/>
  <c r="BT22" i="103"/>
  <c r="BV22" i="103" s="1"/>
  <c r="BT23" i="103"/>
  <c r="BU23" i="103" s="1"/>
  <c r="BT24" i="103"/>
  <c r="BV24" i="103" s="1"/>
  <c r="BT25" i="103"/>
  <c r="BU25" i="103" s="1"/>
  <c r="BT26" i="103"/>
  <c r="BV26" i="103" s="1"/>
  <c r="BT30" i="103"/>
  <c r="BV30" i="103" s="1"/>
  <c r="BT31" i="103"/>
  <c r="BU31" i="103" s="1"/>
  <c r="BT32" i="103"/>
  <c r="BV32" i="103" s="1"/>
  <c r="BT33" i="103"/>
  <c r="BU33" i="103" s="1"/>
  <c r="BT34" i="103"/>
  <c r="BV34" i="103" s="1"/>
  <c r="BT38" i="103"/>
  <c r="BV38" i="103" s="1"/>
  <c r="BT39" i="103"/>
  <c r="BU39" i="103" s="1"/>
  <c r="BT40" i="103"/>
  <c r="BV40" i="103" s="1"/>
  <c r="BT41" i="103"/>
  <c r="BV41" i="103" s="1"/>
  <c r="BT42" i="103"/>
  <c r="BV42" i="103" s="1"/>
  <c r="BT47" i="103"/>
  <c r="BU47" i="103" s="1"/>
  <c r="BT48" i="103"/>
  <c r="BV48" i="103" s="1"/>
  <c r="BT49" i="103"/>
  <c r="BV49" i="103" s="1"/>
  <c r="BT50" i="103"/>
  <c r="BV50" i="103" s="1"/>
  <c r="BT55" i="103"/>
  <c r="BU55" i="103" s="1"/>
  <c r="BT56" i="103"/>
  <c r="BV56" i="103" s="1"/>
  <c r="BT57" i="103"/>
  <c r="BU57" i="103" s="1"/>
  <c r="BT58" i="103"/>
  <c r="BV58" i="103" s="1"/>
  <c r="BT63" i="103"/>
  <c r="BU63" i="103" s="1"/>
  <c r="BT64" i="103"/>
  <c r="BU64" i="103" s="1"/>
  <c r="BT65" i="103"/>
  <c r="BV65" i="103" s="1"/>
  <c r="BT66" i="103"/>
  <c r="BV66" i="103" s="1"/>
  <c r="BT71" i="103"/>
  <c r="BU71" i="103" s="1"/>
  <c r="BT72" i="103"/>
  <c r="BU72" i="103" s="1"/>
  <c r="BT73" i="103"/>
  <c r="BU73" i="103" s="1"/>
  <c r="BT74" i="103"/>
  <c r="BV74" i="103" s="1"/>
  <c r="BT79" i="103"/>
  <c r="BU79" i="103" s="1"/>
  <c r="BT80" i="103"/>
  <c r="BV80" i="103" s="1"/>
  <c r="BT81" i="103"/>
  <c r="BV81" i="103" s="1"/>
  <c r="BT82" i="103"/>
  <c r="BV82" i="103" s="1"/>
  <c r="BT87" i="103"/>
  <c r="BU87" i="103" s="1"/>
  <c r="BT88" i="103"/>
  <c r="BV88" i="103" s="1"/>
  <c r="BT89" i="103"/>
  <c r="BU89" i="103" s="1"/>
  <c r="BT90" i="103"/>
  <c r="BV90" i="103" s="1"/>
  <c r="BT95" i="103"/>
  <c r="BU95" i="103" s="1"/>
  <c r="BT96" i="103"/>
  <c r="BU96" i="103" s="1"/>
  <c r="BT97" i="103"/>
  <c r="BV97" i="103" s="1"/>
  <c r="BT98" i="103"/>
  <c r="BV98" i="103" s="1"/>
  <c r="BT103" i="103"/>
  <c r="BU103" i="103" s="1"/>
  <c r="BT104" i="103"/>
  <c r="BV104" i="103" s="1"/>
  <c r="BT105" i="103"/>
  <c r="BV105" i="103" s="1"/>
  <c r="BT106" i="103"/>
  <c r="BV106" i="103" s="1"/>
  <c r="BT111" i="103"/>
  <c r="BU111" i="103" s="1"/>
  <c r="BT112" i="103"/>
  <c r="BV112" i="103" s="1"/>
  <c r="BT113" i="103"/>
  <c r="BU113" i="103" s="1"/>
  <c r="BT114" i="103"/>
  <c r="BV114" i="103" s="1"/>
  <c r="BT13" i="103"/>
  <c r="BU13" i="103" s="1"/>
  <c r="BH14" i="106"/>
  <c r="BH15" i="106"/>
  <c r="BH16" i="106"/>
  <c r="BI16" i="106" s="1"/>
  <c r="BH17" i="106"/>
  <c r="BH18" i="106"/>
  <c r="BJ18" i="106" s="1"/>
  <c r="BH19" i="106"/>
  <c r="BJ19" i="106" s="1"/>
  <c r="BH21" i="106"/>
  <c r="BH22" i="106"/>
  <c r="BH23" i="106"/>
  <c r="BH24" i="106"/>
  <c r="BH25" i="106"/>
  <c r="BH26" i="106"/>
  <c r="BJ26" i="106" s="1"/>
  <c r="BH27" i="106"/>
  <c r="BH28" i="106"/>
  <c r="BH29" i="106"/>
  <c r="BI29" i="106" s="1"/>
  <c r="BH30" i="106"/>
  <c r="BH31" i="106"/>
  <c r="BH32" i="106"/>
  <c r="BI32" i="106" s="1"/>
  <c r="BH33" i="106"/>
  <c r="BH34" i="106"/>
  <c r="BJ34" i="106" s="1"/>
  <c r="BH35" i="106"/>
  <c r="BH36" i="106"/>
  <c r="BH37" i="106"/>
  <c r="BH38" i="106"/>
  <c r="BH39" i="106"/>
  <c r="BH40" i="106"/>
  <c r="BH41" i="106"/>
  <c r="BH42" i="106"/>
  <c r="BJ42" i="106" s="1"/>
  <c r="BH43" i="106"/>
  <c r="BH44" i="106"/>
  <c r="BH45" i="106"/>
  <c r="BI45" i="106" s="1"/>
  <c r="BH46" i="106"/>
  <c r="BH47" i="106"/>
  <c r="BH48" i="106"/>
  <c r="BI48" i="106" s="1"/>
  <c r="BH49" i="106"/>
  <c r="BH50" i="106"/>
  <c r="BJ50" i="106" s="1"/>
  <c r="BH51" i="106"/>
  <c r="BH52" i="106"/>
  <c r="BH53" i="106"/>
  <c r="BH54" i="106"/>
  <c r="BH55" i="106"/>
  <c r="BH56" i="106"/>
  <c r="BH57" i="106"/>
  <c r="BH58" i="106"/>
  <c r="BJ58" i="106" s="1"/>
  <c r="BH59" i="106"/>
  <c r="BH60" i="106"/>
  <c r="BH61" i="106"/>
  <c r="BI61" i="106" s="1"/>
  <c r="BH62" i="106"/>
  <c r="BH63" i="106"/>
  <c r="BH64" i="106"/>
  <c r="BI64" i="106" s="1"/>
  <c r="BH65" i="106"/>
  <c r="BH66" i="106"/>
  <c r="BJ66" i="106" s="1"/>
  <c r="BH67" i="106"/>
  <c r="BH68" i="106"/>
  <c r="BH69" i="106"/>
  <c r="BH70" i="106"/>
  <c r="BH71" i="106"/>
  <c r="BH72" i="106"/>
  <c r="BH73" i="106"/>
  <c r="BH74" i="106"/>
  <c r="BJ74" i="106" s="1"/>
  <c r="BH75" i="106"/>
  <c r="BH76" i="106"/>
  <c r="BH77" i="106"/>
  <c r="BI77" i="106" s="1"/>
  <c r="BH78" i="106"/>
  <c r="BH79" i="106"/>
  <c r="BH80" i="106"/>
  <c r="BI80" i="106" s="1"/>
  <c r="BH81" i="106"/>
  <c r="BH82" i="106"/>
  <c r="BJ82" i="106" s="1"/>
  <c r="BH83" i="106"/>
  <c r="BH84" i="106"/>
  <c r="BH85" i="106"/>
  <c r="BH86" i="106"/>
  <c r="BH87" i="106"/>
  <c r="BH88" i="106"/>
  <c r="BH89" i="106"/>
  <c r="BH90" i="106"/>
  <c r="BJ90" i="106" s="1"/>
  <c r="BH91" i="106"/>
  <c r="BH92" i="106"/>
  <c r="BH93" i="106"/>
  <c r="BI93" i="106" s="1"/>
  <c r="BH94" i="106"/>
  <c r="BH95" i="106"/>
  <c r="BH96" i="106"/>
  <c r="BI96" i="106" s="1"/>
  <c r="BH97" i="106"/>
  <c r="BH98" i="106"/>
  <c r="BJ98" i="106" s="1"/>
  <c r="BH99" i="106"/>
  <c r="BH100" i="106"/>
  <c r="BH101" i="106"/>
  <c r="BH102" i="106"/>
  <c r="BH103" i="106"/>
  <c r="BH104" i="106"/>
  <c r="BH105" i="106"/>
  <c r="BH106" i="106"/>
  <c r="BJ106" i="106" s="1"/>
  <c r="BH107" i="106"/>
  <c r="BH108" i="106"/>
  <c r="BH109" i="106"/>
  <c r="BI109" i="106" s="1"/>
  <c r="BH110" i="106"/>
  <c r="BH111" i="106"/>
  <c r="BH112" i="106"/>
  <c r="BI112" i="106" s="1"/>
  <c r="BH113" i="106"/>
  <c r="BJ14" i="106"/>
  <c r="BJ15" i="106"/>
  <c r="BJ16" i="106"/>
  <c r="BJ17" i="106"/>
  <c r="BJ21" i="106"/>
  <c r="BJ22" i="106"/>
  <c r="BJ23" i="106"/>
  <c r="BJ24" i="106"/>
  <c r="BJ25" i="106"/>
  <c r="BJ27" i="106"/>
  <c r="BJ28" i="106"/>
  <c r="BJ29" i="106"/>
  <c r="BJ30" i="106"/>
  <c r="BJ31" i="106"/>
  <c r="BJ32" i="106"/>
  <c r="BJ33" i="106"/>
  <c r="BJ35" i="106"/>
  <c r="BJ36" i="106"/>
  <c r="BJ37" i="106"/>
  <c r="BJ38" i="106"/>
  <c r="BJ39" i="106"/>
  <c r="BJ40" i="106"/>
  <c r="BJ41" i="106"/>
  <c r="BJ43" i="106"/>
  <c r="BJ44" i="106"/>
  <c r="BJ45" i="106"/>
  <c r="BJ46" i="106"/>
  <c r="BJ47" i="106"/>
  <c r="BJ48" i="106"/>
  <c r="BJ49" i="106"/>
  <c r="BJ51" i="106"/>
  <c r="BJ52" i="106"/>
  <c r="BJ53" i="106"/>
  <c r="BJ54" i="106"/>
  <c r="BJ55" i="106"/>
  <c r="BJ56" i="106"/>
  <c r="BJ57" i="106"/>
  <c r="BJ59" i="106"/>
  <c r="BJ60" i="106"/>
  <c r="BJ61" i="106"/>
  <c r="BJ62" i="106"/>
  <c r="BJ63" i="106"/>
  <c r="BJ64" i="106"/>
  <c r="BJ65" i="106"/>
  <c r="BJ67" i="106"/>
  <c r="BJ68" i="106"/>
  <c r="BJ69" i="106"/>
  <c r="BJ70" i="106"/>
  <c r="BJ71" i="106"/>
  <c r="BJ72" i="106"/>
  <c r="BJ73" i="106"/>
  <c r="BJ75" i="106"/>
  <c r="BJ76" i="106"/>
  <c r="BJ77" i="106"/>
  <c r="BJ78" i="106"/>
  <c r="BJ79" i="106"/>
  <c r="BJ80" i="106"/>
  <c r="BJ81" i="106"/>
  <c r="BJ83" i="106"/>
  <c r="BJ84" i="106"/>
  <c r="BJ85" i="106"/>
  <c r="BJ86" i="106"/>
  <c r="BJ87" i="106"/>
  <c r="BJ88" i="106"/>
  <c r="BJ89" i="106"/>
  <c r="BJ91" i="106"/>
  <c r="BJ92" i="106"/>
  <c r="BJ93" i="106"/>
  <c r="BJ94" i="106"/>
  <c r="BJ95" i="106"/>
  <c r="BJ96" i="106"/>
  <c r="BJ97" i="106"/>
  <c r="BJ99" i="106"/>
  <c r="BJ100" i="106"/>
  <c r="BJ101" i="106"/>
  <c r="BJ102" i="106"/>
  <c r="BJ103" i="106"/>
  <c r="BJ104" i="106"/>
  <c r="BJ105" i="106"/>
  <c r="BJ107" i="106"/>
  <c r="BJ108" i="106"/>
  <c r="BJ109" i="106"/>
  <c r="BJ110" i="106"/>
  <c r="BJ111" i="106"/>
  <c r="BJ112" i="106"/>
  <c r="BJ113" i="106"/>
  <c r="BI21" i="106"/>
  <c r="BI27" i="106"/>
  <c r="BI28" i="106"/>
  <c r="BI35" i="106"/>
  <c r="BI36" i="106"/>
  <c r="BI37" i="106"/>
  <c r="BI43" i="106"/>
  <c r="BI44" i="106"/>
  <c r="BI51" i="106"/>
  <c r="BI52" i="106"/>
  <c r="BI53" i="106"/>
  <c r="BI59" i="106"/>
  <c r="BI60" i="106"/>
  <c r="BI67" i="106"/>
  <c r="BI68" i="106"/>
  <c r="BI69" i="106"/>
  <c r="BI75" i="106"/>
  <c r="BI76" i="106"/>
  <c r="BI83" i="106"/>
  <c r="BI84" i="106"/>
  <c r="BI85" i="106"/>
  <c r="BI91" i="106"/>
  <c r="BI92" i="106"/>
  <c r="BI99" i="106"/>
  <c r="BI100" i="106"/>
  <c r="BI101" i="106"/>
  <c r="BI107" i="106"/>
  <c r="BI108" i="106"/>
  <c r="BI14" i="106"/>
  <c r="BI15" i="106"/>
  <c r="BI17" i="106"/>
  <c r="BI22" i="106"/>
  <c r="BI23" i="106"/>
  <c r="BI24" i="106"/>
  <c r="BI25" i="106"/>
  <c r="BI30" i="106"/>
  <c r="BI31" i="106"/>
  <c r="BI33" i="106"/>
  <c r="BI38" i="106"/>
  <c r="BI39" i="106"/>
  <c r="BI40" i="106"/>
  <c r="BI41" i="106"/>
  <c r="BI46" i="106"/>
  <c r="BI47" i="106"/>
  <c r="BI49" i="106"/>
  <c r="BI54" i="106"/>
  <c r="BI55" i="106"/>
  <c r="BI56" i="106"/>
  <c r="BI57" i="106"/>
  <c r="BI62" i="106"/>
  <c r="BI63" i="106"/>
  <c r="BI65" i="106"/>
  <c r="BI70" i="106"/>
  <c r="BI71" i="106"/>
  <c r="BI72" i="106"/>
  <c r="BI73" i="106"/>
  <c r="BI78" i="106"/>
  <c r="BI79" i="106"/>
  <c r="BI81" i="106"/>
  <c r="BI86" i="106"/>
  <c r="BI87" i="106"/>
  <c r="BI88" i="106"/>
  <c r="BI89" i="106"/>
  <c r="BI94" i="106"/>
  <c r="BI95" i="106"/>
  <c r="BI97" i="106"/>
  <c r="BI102" i="106"/>
  <c r="BI103" i="106"/>
  <c r="BI104" i="106"/>
  <c r="BI105" i="106"/>
  <c r="BI110" i="106"/>
  <c r="BI111" i="106"/>
  <c r="BI113" i="106"/>
  <c r="BT14" i="103"/>
  <c r="BU14" i="103" s="1"/>
  <c r="BI19" i="106" l="1"/>
  <c r="BV19" i="103"/>
  <c r="BU19" i="103"/>
  <c r="BV85" i="103"/>
  <c r="BU85" i="103"/>
  <c r="BV37" i="103"/>
  <c r="BU37" i="103"/>
  <c r="BV44" i="103"/>
  <c r="BU44" i="103"/>
  <c r="BV109" i="103"/>
  <c r="BU109" i="103"/>
  <c r="BV77" i="103"/>
  <c r="BU77" i="103"/>
  <c r="BU21" i="103"/>
  <c r="BV21" i="103"/>
  <c r="BV92" i="103"/>
  <c r="BU92" i="103"/>
  <c r="BV60" i="103"/>
  <c r="BU60" i="103"/>
  <c r="BV28" i="103"/>
  <c r="BU28" i="103"/>
  <c r="BV83" i="103"/>
  <c r="BU83" i="103"/>
  <c r="BV67" i="103"/>
  <c r="BU67" i="103"/>
  <c r="BV35" i="103"/>
  <c r="BU35" i="103"/>
  <c r="BU69" i="103"/>
  <c r="BV69" i="103"/>
  <c r="BU45" i="103"/>
  <c r="BV45" i="103"/>
  <c r="BU100" i="103"/>
  <c r="BV100" i="103"/>
  <c r="BV76" i="103"/>
  <c r="BU76" i="103"/>
  <c r="BV91" i="103"/>
  <c r="BU91" i="103"/>
  <c r="BV27" i="103"/>
  <c r="BU27" i="103"/>
  <c r="BU101" i="103"/>
  <c r="BV101" i="103"/>
  <c r="BV53" i="103"/>
  <c r="BU53" i="103"/>
  <c r="BU52" i="103"/>
  <c r="BV52" i="103"/>
  <c r="BV107" i="103"/>
  <c r="BU107" i="103"/>
  <c r="BV43" i="103"/>
  <c r="BU43" i="103"/>
  <c r="BV93" i="103"/>
  <c r="BU93" i="103"/>
  <c r="BU61" i="103"/>
  <c r="BV61" i="103"/>
  <c r="BU29" i="103"/>
  <c r="BV29" i="103"/>
  <c r="BU108" i="103"/>
  <c r="BV108" i="103"/>
  <c r="BV84" i="103"/>
  <c r="BU84" i="103"/>
  <c r="BU68" i="103"/>
  <c r="BV68" i="103"/>
  <c r="BU36" i="103"/>
  <c r="BV36" i="103"/>
  <c r="BV99" i="103"/>
  <c r="BU99" i="103"/>
  <c r="BV75" i="103"/>
  <c r="BU75" i="103"/>
  <c r="BV59" i="103"/>
  <c r="BU59" i="103"/>
  <c r="BV51" i="103"/>
  <c r="BU51" i="103"/>
  <c r="BU110" i="103"/>
  <c r="BV110" i="103"/>
  <c r="BU102" i="103"/>
  <c r="BV102" i="103"/>
  <c r="BU94" i="103"/>
  <c r="BV94" i="103"/>
  <c r="BU86" i="103"/>
  <c r="BV86" i="103"/>
  <c r="BU78" i="103"/>
  <c r="BV78" i="103"/>
  <c r="BU70" i="103"/>
  <c r="BV70" i="103"/>
  <c r="BU62" i="103"/>
  <c r="BV62" i="103"/>
  <c r="BU54" i="103"/>
  <c r="BV54" i="103"/>
  <c r="BU46" i="103"/>
  <c r="BV46" i="103"/>
  <c r="BV64" i="103"/>
  <c r="BV95" i="103"/>
  <c r="BV47" i="103"/>
  <c r="BU114" i="103"/>
  <c r="BU106" i="103"/>
  <c r="BU98" i="103"/>
  <c r="BU90" i="103"/>
  <c r="BU82" i="103"/>
  <c r="BU74" i="103"/>
  <c r="BU66" i="103"/>
  <c r="BU58" i="103"/>
  <c r="BU50" i="103"/>
  <c r="BU42" i="103"/>
  <c r="BU34" i="103"/>
  <c r="BU26" i="103"/>
  <c r="BV14" i="103"/>
  <c r="BV113" i="103"/>
  <c r="BV89" i="103"/>
  <c r="BV73" i="103"/>
  <c r="BV57" i="103"/>
  <c r="BV33" i="103"/>
  <c r="BV25" i="103"/>
  <c r="BV72" i="103"/>
  <c r="BV111" i="103"/>
  <c r="BV103" i="103"/>
  <c r="BV79" i="103"/>
  <c r="BV71" i="103"/>
  <c r="BV63" i="103"/>
  <c r="BV55" i="103"/>
  <c r="BV39" i="103"/>
  <c r="BV31" i="103"/>
  <c r="BV23" i="103"/>
  <c r="BV15" i="103"/>
  <c r="BU97" i="103"/>
  <c r="BU49" i="103"/>
  <c r="BV96" i="103"/>
  <c r="BV87" i="103"/>
  <c r="BU105" i="103"/>
  <c r="BU81" i="103"/>
  <c r="BU41" i="103"/>
  <c r="BU17" i="103"/>
  <c r="BU112" i="103"/>
  <c r="BU104" i="103"/>
  <c r="BU88" i="103"/>
  <c r="BU80" i="103"/>
  <c r="BU56" i="103"/>
  <c r="BU48" i="103"/>
  <c r="BU40" i="103"/>
  <c r="BU32" i="103"/>
  <c r="BU24" i="103"/>
  <c r="BU16" i="103"/>
  <c r="BU65" i="103"/>
  <c r="BV13" i="103"/>
  <c r="BI106" i="106"/>
  <c r="BI90" i="106"/>
  <c r="BI74" i="106"/>
  <c r="BI58" i="106"/>
  <c r="BI42" i="106"/>
  <c r="BI26" i="106"/>
  <c r="BI98" i="106"/>
  <c r="BI82" i="106"/>
  <c r="BI66" i="106"/>
  <c r="BI50" i="106"/>
  <c r="BI34" i="106"/>
  <c r="BI18" i="106"/>
  <c r="BQ14" i="103" l="1"/>
  <c r="BQ15" i="103"/>
  <c r="BQ16" i="103"/>
  <c r="BQ17" i="103"/>
  <c r="BQ18" i="103"/>
  <c r="BQ19" i="103"/>
  <c r="BQ20" i="103"/>
  <c r="BQ21" i="103"/>
  <c r="BQ22" i="103"/>
  <c r="BQ23" i="103"/>
  <c r="BQ24" i="103"/>
  <c r="BQ25" i="103"/>
  <c r="BQ26" i="103"/>
  <c r="BQ27" i="103"/>
  <c r="BQ28" i="103"/>
  <c r="BQ29" i="103"/>
  <c r="BQ30" i="103"/>
  <c r="BQ31" i="103"/>
  <c r="BQ32" i="103"/>
  <c r="BQ33" i="103"/>
  <c r="BQ34" i="103"/>
  <c r="BQ35" i="103"/>
  <c r="BQ36" i="103"/>
  <c r="BQ37" i="103"/>
  <c r="BQ38" i="103"/>
  <c r="BQ39" i="103"/>
  <c r="BQ40" i="103"/>
  <c r="BQ41" i="103"/>
  <c r="BQ42" i="103"/>
  <c r="BQ43" i="103"/>
  <c r="BQ44" i="103"/>
  <c r="BQ45" i="103"/>
  <c r="BQ46" i="103"/>
  <c r="BQ47" i="103"/>
  <c r="BQ48" i="103"/>
  <c r="BQ49" i="103"/>
  <c r="BQ50" i="103"/>
  <c r="BQ51" i="103"/>
  <c r="BQ52" i="103"/>
  <c r="BQ53" i="103"/>
  <c r="BQ54" i="103"/>
  <c r="BQ55" i="103"/>
  <c r="BQ56" i="103"/>
  <c r="BQ57" i="103"/>
  <c r="BQ58" i="103"/>
  <c r="BQ59" i="103"/>
  <c r="BQ60" i="103"/>
  <c r="BQ61" i="103"/>
  <c r="BQ62" i="103"/>
  <c r="BQ63" i="103"/>
  <c r="BQ64" i="103"/>
  <c r="BQ65" i="103"/>
  <c r="BQ66" i="103"/>
  <c r="BQ67" i="103"/>
  <c r="BQ68" i="103"/>
  <c r="BQ69" i="103"/>
  <c r="BQ70" i="103"/>
  <c r="BQ71" i="103"/>
  <c r="BQ72" i="103"/>
  <c r="BQ73" i="103"/>
  <c r="BQ74" i="103"/>
  <c r="BQ75" i="103"/>
  <c r="BQ76" i="103"/>
  <c r="BQ77" i="103"/>
  <c r="BQ78" i="103"/>
  <c r="BQ79" i="103"/>
  <c r="BQ80" i="103"/>
  <c r="BQ81" i="103"/>
  <c r="BQ82" i="103"/>
  <c r="BQ83" i="103"/>
  <c r="BQ84" i="103"/>
  <c r="BQ85" i="103"/>
  <c r="BQ86" i="103"/>
  <c r="BQ87" i="103"/>
  <c r="BQ88" i="103"/>
  <c r="BQ89" i="103"/>
  <c r="BQ90" i="103"/>
  <c r="BQ91" i="103"/>
  <c r="BQ92" i="103"/>
  <c r="BQ93" i="103"/>
  <c r="BQ94" i="103"/>
  <c r="BQ95" i="103"/>
  <c r="BQ96" i="103"/>
  <c r="BQ97" i="103"/>
  <c r="BQ98" i="103"/>
  <c r="BQ99" i="103"/>
  <c r="BQ100" i="103"/>
  <c r="BQ101" i="103"/>
  <c r="BQ102" i="103"/>
  <c r="BQ103" i="103"/>
  <c r="BQ104" i="103"/>
  <c r="BQ105" i="103"/>
  <c r="BQ106" i="103"/>
  <c r="BQ107" i="103"/>
  <c r="BQ108" i="103"/>
  <c r="BQ109" i="103"/>
  <c r="BQ110" i="103"/>
  <c r="BQ111" i="103"/>
  <c r="BQ112" i="103"/>
  <c r="BQ113" i="103"/>
  <c r="BQ13" i="103"/>
  <c r="BI38" i="105" s="1"/>
  <c r="AI64" i="105" l="1"/>
  <c r="AK64" i="105" s="1"/>
  <c r="AK56" i="105" s="1"/>
  <c r="W111" i="105"/>
  <c r="BE51" i="105"/>
  <c r="BA51" i="105"/>
  <c r="BA46" i="105"/>
  <c r="BA42" i="105"/>
  <c r="BA38" i="105"/>
  <c r="M14" i="103" l="1"/>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3" i="103"/>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AK6" i="106" l="1"/>
  <c r="BO35" i="103"/>
  <c r="BO115" i="103"/>
  <c r="BM14" i="103"/>
  <c r="BO14" i="103" s="1"/>
  <c r="BM15" i="103"/>
  <c r="BO15" i="103" s="1"/>
  <c r="BM16" i="103"/>
  <c r="BO16" i="103" s="1"/>
  <c r="BM17" i="103"/>
  <c r="BO17" i="103" s="1"/>
  <c r="BM18" i="103"/>
  <c r="BO18" i="103" s="1"/>
  <c r="BM19" i="103"/>
  <c r="BO19" i="103" s="1"/>
  <c r="BM20" i="103"/>
  <c r="BM21" i="103"/>
  <c r="BO21" i="103" s="1"/>
  <c r="BM22" i="103"/>
  <c r="BO22" i="103" s="1"/>
  <c r="BM23" i="103"/>
  <c r="BO23" i="103" s="1"/>
  <c r="BM24" i="103"/>
  <c r="BO24" i="103" s="1"/>
  <c r="BM25" i="103"/>
  <c r="BO25" i="103" s="1"/>
  <c r="BM26" i="103"/>
  <c r="BO26" i="103" s="1"/>
  <c r="BM27" i="103"/>
  <c r="BO27" i="103" s="1"/>
  <c r="BM28" i="103"/>
  <c r="BO28" i="103" s="1"/>
  <c r="BM29" i="103"/>
  <c r="BO29" i="103" s="1"/>
  <c r="BM30" i="103"/>
  <c r="BO30" i="103" s="1"/>
  <c r="BM31" i="103"/>
  <c r="BO31" i="103" s="1"/>
  <c r="BM32" i="103"/>
  <c r="BO32" i="103" s="1"/>
  <c r="BM33" i="103"/>
  <c r="BO33" i="103" s="1"/>
  <c r="BM34" i="103"/>
  <c r="BO34" i="103" s="1"/>
  <c r="BM35" i="103"/>
  <c r="BM36" i="103"/>
  <c r="BO36" i="103" s="1"/>
  <c r="BM37" i="103"/>
  <c r="BO37" i="103" s="1"/>
  <c r="BM38" i="103"/>
  <c r="BO38" i="103" s="1"/>
  <c r="BM39" i="103"/>
  <c r="BO39" i="103" s="1"/>
  <c r="BM40" i="103"/>
  <c r="BO40" i="103" s="1"/>
  <c r="BM41" i="103"/>
  <c r="BO41" i="103" s="1"/>
  <c r="BM42" i="103"/>
  <c r="BO42" i="103" s="1"/>
  <c r="BM43" i="103"/>
  <c r="BO43" i="103" s="1"/>
  <c r="BM44" i="103"/>
  <c r="BO44" i="103" s="1"/>
  <c r="BM45" i="103"/>
  <c r="BO45" i="103" s="1"/>
  <c r="BM46" i="103"/>
  <c r="BO46" i="103" s="1"/>
  <c r="BM47" i="103"/>
  <c r="BO47" i="103" s="1"/>
  <c r="BM48" i="103"/>
  <c r="BO48" i="103" s="1"/>
  <c r="BM49" i="103"/>
  <c r="BO49" i="103" s="1"/>
  <c r="BM50" i="103"/>
  <c r="BO50" i="103" s="1"/>
  <c r="BM51" i="103"/>
  <c r="BO51" i="103" s="1"/>
  <c r="BM52" i="103"/>
  <c r="BO52" i="103" s="1"/>
  <c r="BM53" i="103"/>
  <c r="BO53" i="103" s="1"/>
  <c r="BM54" i="103"/>
  <c r="BO54" i="103" s="1"/>
  <c r="BM55" i="103"/>
  <c r="BO55" i="103" s="1"/>
  <c r="BM56" i="103"/>
  <c r="BO56" i="103" s="1"/>
  <c r="BM57" i="103"/>
  <c r="BO57" i="103" s="1"/>
  <c r="BM58" i="103"/>
  <c r="BO58" i="103" s="1"/>
  <c r="BM59" i="103"/>
  <c r="BO59" i="103" s="1"/>
  <c r="BM60" i="103"/>
  <c r="BO60" i="103" s="1"/>
  <c r="BM61" i="103"/>
  <c r="BO61" i="103" s="1"/>
  <c r="BM62" i="103"/>
  <c r="BO62" i="103" s="1"/>
  <c r="BM63" i="103"/>
  <c r="BO63" i="103" s="1"/>
  <c r="BM64" i="103"/>
  <c r="BO64" i="103" s="1"/>
  <c r="BM65" i="103"/>
  <c r="BO65" i="103" s="1"/>
  <c r="BM66" i="103"/>
  <c r="BO66" i="103" s="1"/>
  <c r="BM67" i="103"/>
  <c r="BO67" i="103" s="1"/>
  <c r="BM68" i="103"/>
  <c r="BO68" i="103" s="1"/>
  <c r="BM69" i="103"/>
  <c r="BO69" i="103" s="1"/>
  <c r="BM70" i="103"/>
  <c r="BO70" i="103" s="1"/>
  <c r="BM71" i="103"/>
  <c r="BO71" i="103" s="1"/>
  <c r="BM72" i="103"/>
  <c r="BO72" i="103" s="1"/>
  <c r="BM73" i="103"/>
  <c r="BO73" i="103" s="1"/>
  <c r="BM74" i="103"/>
  <c r="BO74" i="103" s="1"/>
  <c r="BM75" i="103"/>
  <c r="BO75" i="103" s="1"/>
  <c r="BM76" i="103"/>
  <c r="BO76" i="103" s="1"/>
  <c r="BM77" i="103"/>
  <c r="BO77" i="103" s="1"/>
  <c r="BM78" i="103"/>
  <c r="BO78" i="103" s="1"/>
  <c r="BM79" i="103"/>
  <c r="BO79" i="103" s="1"/>
  <c r="BM80" i="103"/>
  <c r="BO80" i="103" s="1"/>
  <c r="BM81" i="103"/>
  <c r="BO81" i="103" s="1"/>
  <c r="BM82" i="103"/>
  <c r="BO82" i="103" s="1"/>
  <c r="BM83" i="103"/>
  <c r="BO83" i="103" s="1"/>
  <c r="BM84" i="103"/>
  <c r="BO84" i="103" s="1"/>
  <c r="BM85" i="103"/>
  <c r="BO85" i="103" s="1"/>
  <c r="BM86" i="103"/>
  <c r="BO86" i="103" s="1"/>
  <c r="BM87" i="103"/>
  <c r="BO87" i="103" s="1"/>
  <c r="BM88" i="103"/>
  <c r="BO88" i="103" s="1"/>
  <c r="BM89" i="103"/>
  <c r="BO89" i="103" s="1"/>
  <c r="BM90" i="103"/>
  <c r="BO90" i="103" s="1"/>
  <c r="BM91" i="103"/>
  <c r="BO91" i="103" s="1"/>
  <c r="BM92" i="103"/>
  <c r="BO92" i="103" s="1"/>
  <c r="BM93" i="103"/>
  <c r="BO93" i="103" s="1"/>
  <c r="BM94" i="103"/>
  <c r="BO94" i="103" s="1"/>
  <c r="BM95" i="103"/>
  <c r="BO95" i="103" s="1"/>
  <c r="BM96" i="103"/>
  <c r="BO96" i="103" s="1"/>
  <c r="BM97" i="103"/>
  <c r="BO97" i="103" s="1"/>
  <c r="BM98" i="103"/>
  <c r="BO98" i="103" s="1"/>
  <c r="BM99" i="103"/>
  <c r="BO99" i="103" s="1"/>
  <c r="BM100" i="103"/>
  <c r="BO100" i="103" s="1"/>
  <c r="BM101" i="103"/>
  <c r="BO101" i="103" s="1"/>
  <c r="BM102" i="103"/>
  <c r="BO102" i="103" s="1"/>
  <c r="BM103" i="103"/>
  <c r="BO103" i="103" s="1"/>
  <c r="BM104" i="103"/>
  <c r="BO104" i="103" s="1"/>
  <c r="BM105" i="103"/>
  <c r="BO105" i="103" s="1"/>
  <c r="BM106" i="103"/>
  <c r="BO106" i="103" s="1"/>
  <c r="BM107" i="103"/>
  <c r="BO107" i="103" s="1"/>
  <c r="BM108" i="103"/>
  <c r="BO108" i="103" s="1"/>
  <c r="BM109" i="103"/>
  <c r="BO109" i="103" s="1"/>
  <c r="BM110" i="103"/>
  <c r="BO110" i="103" s="1"/>
  <c r="BM111" i="103"/>
  <c r="BO111" i="103" s="1"/>
  <c r="BM112" i="103"/>
  <c r="BO112" i="103" s="1"/>
  <c r="BM113" i="103"/>
  <c r="BO113" i="103" s="1"/>
  <c r="BM114" i="103"/>
  <c r="BO114" i="103" s="1"/>
  <c r="BM13" i="103"/>
  <c r="BS20" i="103" l="1"/>
  <c r="BT20" i="103" s="1"/>
  <c r="BN20" i="103"/>
  <c r="AU13" i="106"/>
  <c r="BC14" i="106"/>
  <c r="BC15" i="106"/>
  <c r="BC16" i="106"/>
  <c r="BC17" i="106"/>
  <c r="BC18" i="106"/>
  <c r="BC19" i="106"/>
  <c r="BC20" i="106"/>
  <c r="BH20" i="106" s="1"/>
  <c r="BC21" i="106"/>
  <c r="BC22" i="106"/>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L30" i="106"/>
  <c r="K30" i="106"/>
  <c r="AO30" i="106" s="1"/>
  <c r="AS30" i="106" s="1"/>
  <c r="J30" i="106"/>
  <c r="I30" i="106"/>
  <c r="H30" i="106"/>
  <c r="G30" i="106"/>
  <c r="BF30" i="106" s="1"/>
  <c r="B30" i="106"/>
  <c r="L29" i="106"/>
  <c r="K29" i="106"/>
  <c r="J29" i="106"/>
  <c r="I29" i="106"/>
  <c r="H29" i="106"/>
  <c r="G29" i="106"/>
  <c r="BF29" i="106" s="1"/>
  <c r="B29" i="106"/>
  <c r="L28" i="106"/>
  <c r="K28" i="106"/>
  <c r="J28" i="106"/>
  <c r="I28" i="106"/>
  <c r="H28" i="106"/>
  <c r="G28" i="106"/>
  <c r="BF28" i="106" s="1"/>
  <c r="B28" i="106"/>
  <c r="L27" i="106"/>
  <c r="K27" i="106"/>
  <c r="AY27" i="106" s="1"/>
  <c r="J27" i="106"/>
  <c r="I27" i="106"/>
  <c r="H27" i="106"/>
  <c r="G27" i="106"/>
  <c r="BF27" i="106" s="1"/>
  <c r="B27" i="106"/>
  <c r="L26" i="106"/>
  <c r="AE26" i="106" s="1"/>
  <c r="K26" i="106"/>
  <c r="BB26" i="106" s="1"/>
  <c r="J26" i="106"/>
  <c r="I26" i="106"/>
  <c r="H26" i="106"/>
  <c r="G26" i="106"/>
  <c r="BF26" i="106" s="1"/>
  <c r="B26" i="106"/>
  <c r="L25" i="106"/>
  <c r="K25" i="106"/>
  <c r="AY25" i="106" s="1"/>
  <c r="J25" i="106"/>
  <c r="I25" i="106"/>
  <c r="H25" i="106"/>
  <c r="G25" i="106"/>
  <c r="BF25" i="106" s="1"/>
  <c r="B25" i="106"/>
  <c r="L24" i="106"/>
  <c r="K24" i="106"/>
  <c r="AO24" i="106" s="1"/>
  <c r="AS24" i="106" s="1"/>
  <c r="J24" i="106"/>
  <c r="I24" i="106"/>
  <c r="H24" i="106"/>
  <c r="G24" i="106"/>
  <c r="BF24" i="106" s="1"/>
  <c r="B24" i="106"/>
  <c r="L23" i="106"/>
  <c r="K23" i="106"/>
  <c r="J23" i="106"/>
  <c r="I23" i="106"/>
  <c r="H23" i="106"/>
  <c r="G23" i="106"/>
  <c r="BF23" i="106" s="1"/>
  <c r="B23" i="106"/>
  <c r="L22"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L19" i="106"/>
  <c r="K19" i="106"/>
  <c r="N19" i="106" s="1"/>
  <c r="N19" i="103" s="1"/>
  <c r="J19" i="106"/>
  <c r="I19" i="106"/>
  <c r="H19" i="106"/>
  <c r="G19" i="106"/>
  <c r="BF19" i="106" s="1"/>
  <c r="B19" i="106"/>
  <c r="AA18" i="106"/>
  <c r="L18" i="106"/>
  <c r="K18" i="106"/>
  <c r="AO18" i="106" s="1"/>
  <c r="J18" i="106"/>
  <c r="I18" i="106"/>
  <c r="H18" i="106"/>
  <c r="G18" i="106"/>
  <c r="BF18" i="106" s="1"/>
  <c r="B18" i="106"/>
  <c r="AA17" i="106"/>
  <c r="L17" i="106"/>
  <c r="K17" i="106"/>
  <c r="BB17" i="106" s="1"/>
  <c r="J17" i="106"/>
  <c r="I17" i="106"/>
  <c r="H17" i="106"/>
  <c r="G17" i="106"/>
  <c r="BF17" i="106" s="1"/>
  <c r="B17" i="106"/>
  <c r="AA16" i="106"/>
  <c r="L16" i="106"/>
  <c r="AE16" i="106" s="1"/>
  <c r="K16" i="106"/>
  <c r="AO16" i="106" s="1"/>
  <c r="AS16" i="106" s="1"/>
  <c r="J16" i="106"/>
  <c r="I16" i="106"/>
  <c r="H16" i="106"/>
  <c r="G16" i="106"/>
  <c r="BF16" i="106" s="1"/>
  <c r="B16" i="106"/>
  <c r="AA15" i="106"/>
  <c r="L15" i="106"/>
  <c r="K15" i="106"/>
  <c r="N15" i="106" s="1"/>
  <c r="N15" i="103" s="1"/>
  <c r="J15" i="106"/>
  <c r="I15" i="106"/>
  <c r="H15" i="106"/>
  <c r="G15" i="106"/>
  <c r="BF15" i="106" s="1"/>
  <c r="B15" i="106"/>
  <c r="AA14" i="106"/>
  <c r="L14" i="106"/>
  <c r="K14" i="106"/>
  <c r="AO14" i="106" s="1"/>
  <c r="AS14" i="106" s="1"/>
  <c r="J14" i="106"/>
  <c r="I14" i="106"/>
  <c r="H14" i="106"/>
  <c r="G14" i="106"/>
  <c r="BF14" i="106" s="1"/>
  <c r="B14" i="106"/>
  <c r="AA13" i="106"/>
  <c r="L13" i="106"/>
  <c r="K13" i="106"/>
  <c r="BH13" i="106" s="1"/>
  <c r="J13" i="106"/>
  <c r="I13" i="106"/>
  <c r="H13" i="106"/>
  <c r="G13" i="106"/>
  <c r="BF13" i="106" s="1"/>
  <c r="B13" i="106"/>
  <c r="D3" i="106"/>
  <c r="AK1" i="106"/>
  <c r="AA132" i="105"/>
  <c r="T132" i="105"/>
  <c r="BA93" i="105"/>
  <c r="BA72" i="105"/>
  <c r="BA68" i="105"/>
  <c r="Q24" i="105"/>
  <c r="Z12" i="105"/>
  <c r="L12" i="105"/>
  <c r="H11" i="105"/>
  <c r="H10" i="105"/>
  <c r="H9" i="105"/>
  <c r="H8" i="105"/>
  <c r="I7" i="105"/>
  <c r="H6" i="105"/>
  <c r="H5" i="105"/>
  <c r="AF1" i="105"/>
  <c r="AK6" i="103"/>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AP114" i="103"/>
  <c r="BV20" i="103" l="1"/>
  <c r="BV11" i="103" s="1"/>
  <c r="BU20" i="103"/>
  <c r="BJ20" i="106"/>
  <c r="BI20" i="106"/>
  <c r="AO13" i="106"/>
  <c r="AZ13" i="106" s="1"/>
  <c r="N74" i="106"/>
  <c r="N74" i="103" s="1"/>
  <c r="N88" i="106"/>
  <c r="N88" i="103" s="1"/>
  <c r="P74" i="106"/>
  <c r="AD74" i="106" s="1"/>
  <c r="N18" i="106"/>
  <c r="N18" i="103" s="1"/>
  <c r="N110" i="106"/>
  <c r="N110" i="103" s="1"/>
  <c r="AE70" i="106"/>
  <c r="P18" i="106"/>
  <c r="AC18" i="106" s="1"/>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C13" i="106" s="1"/>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AC26" i="106" s="1"/>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AE29"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18" i="106"/>
  <c r="AQ18" i="106" s="1"/>
  <c r="AE24" i="106"/>
  <c r="AQ24" i="106" s="1"/>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14" i="106"/>
  <c r="AQ14" i="106" s="1"/>
  <c r="AE36" i="106"/>
  <c r="AO56" i="106"/>
  <c r="AL56" i="106" s="1"/>
  <c r="AY56" i="106"/>
  <c r="BB60" i="106"/>
  <c r="AO60" i="106"/>
  <c r="AR60" i="106" s="1"/>
  <c r="AO89" i="106"/>
  <c r="AY89" i="106"/>
  <c r="AE107" i="106"/>
  <c r="BB110" i="106"/>
  <c r="AO110" i="106"/>
  <c r="AV110" i="106" s="1"/>
  <c r="AK5" i="106"/>
  <c r="AY21" i="106"/>
  <c r="AY31" i="106"/>
  <c r="AO36" i="106"/>
  <c r="AP36" i="106" s="1"/>
  <c r="AY108" i="106"/>
  <c r="AV71" i="106"/>
  <c r="AW71" i="106" s="1"/>
  <c r="AV76" i="106"/>
  <c r="AW76" i="106" s="1"/>
  <c r="AV83" i="106"/>
  <c r="AW83" i="106" s="1"/>
  <c r="AV91" i="106"/>
  <c r="AW91" i="106" s="1"/>
  <c r="AV103" i="106"/>
  <c r="AW103" i="106" s="1"/>
  <c r="AH10" i="106"/>
  <c r="AW14" i="106"/>
  <c r="AR18" i="106"/>
  <c r="AP18" i="106"/>
  <c r="AV18" i="106"/>
  <c r="AV16" i="106"/>
  <c r="AQ16" i="106"/>
  <c r="AP16" i="106"/>
  <c r="AR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AE15" i="106"/>
  <c r="P16" i="106"/>
  <c r="AC16" i="106" s="1"/>
  <c r="N16" i="106"/>
  <c r="N16" i="103" s="1"/>
  <c r="AE19" i="106"/>
  <c r="P21" i="106"/>
  <c r="AE28" i="106"/>
  <c r="AE43" i="106"/>
  <c r="AE46" i="106"/>
  <c r="AC46" i="106"/>
  <c r="P17" i="106"/>
  <c r="P28" i="106"/>
  <c r="AC28" i="106" s="1"/>
  <c r="AE51" i="106"/>
  <c r="AE56" i="106"/>
  <c r="N60" i="106"/>
  <c r="N60" i="103" s="1"/>
  <c r="AE60" i="106"/>
  <c r="P60" i="106"/>
  <c r="AC60" i="106" s="1"/>
  <c r="N21" i="106"/>
  <c r="N21" i="103" s="1"/>
  <c r="AE22" i="106"/>
  <c r="AE44" i="106"/>
  <c r="AE13" i="106"/>
  <c r="AE35" i="106"/>
  <c r="P39" i="106"/>
  <c r="N39" i="106"/>
  <c r="N39" i="103" s="1"/>
  <c r="AE62" i="106"/>
  <c r="P62" i="106"/>
  <c r="N62" i="106"/>
  <c r="N62" i="103" s="1"/>
  <c r="AL18" i="106"/>
  <c r="N20" i="106"/>
  <c r="N20" i="103" s="1"/>
  <c r="AE27" i="106"/>
  <c r="P31" i="106"/>
  <c r="N31" i="106"/>
  <c r="N31" i="103" s="1"/>
  <c r="AE39" i="106"/>
  <c r="N49" i="106"/>
  <c r="N49" i="103" s="1"/>
  <c r="P15" i="106"/>
  <c r="AD15" i="106" s="1"/>
  <c r="AC14" i="106"/>
  <c r="P23" i="106"/>
  <c r="N23" i="106"/>
  <c r="N23" i="103" s="1"/>
  <c r="AC25" i="106"/>
  <c r="AE31" i="106"/>
  <c r="AL37" i="106"/>
  <c r="AE38" i="106"/>
  <c r="N17" i="106"/>
  <c r="N17" i="103" s="1"/>
  <c r="AE17" i="106"/>
  <c r="N28" i="106"/>
  <c r="N28" i="103" s="1"/>
  <c r="N13" i="106"/>
  <c r="N14" i="106"/>
  <c r="N14" i="103" s="1"/>
  <c r="P20" i="106"/>
  <c r="AE23" i="106"/>
  <c r="AL29" i="106"/>
  <c r="AE30" i="106"/>
  <c r="AQ30" i="106" s="1"/>
  <c r="N36" i="106"/>
  <c r="P49" i="106"/>
  <c r="AE49" i="106"/>
  <c r="AE65" i="106"/>
  <c r="P65" i="106"/>
  <c r="N65" i="106"/>
  <c r="N65" i="103" s="1"/>
  <c r="P19" i="106"/>
  <c r="AD19" i="106" s="1"/>
  <c r="P27" i="106"/>
  <c r="AD27" i="106" s="1"/>
  <c r="AL30" i="106"/>
  <c r="P35" i="106"/>
  <c r="N44" i="106"/>
  <c r="P47" i="106"/>
  <c r="AE47" i="106"/>
  <c r="AC48" i="106"/>
  <c r="P51" i="106"/>
  <c r="AC51" i="106" s="1"/>
  <c r="N51" i="106"/>
  <c r="N51" i="103" s="1"/>
  <c r="P68" i="106"/>
  <c r="AC68" i="106" s="1"/>
  <c r="AE68" i="106"/>
  <c r="N68" i="106"/>
  <c r="N68" i="103" s="1"/>
  <c r="AL102" i="106"/>
  <c r="AE25" i="106"/>
  <c r="P29" i="106"/>
  <c r="AC29" i="106" s="1"/>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AC24" i="106" s="1"/>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D100" i="106" l="1"/>
  <c r="AL38" i="106"/>
  <c r="AC74" i="106"/>
  <c r="AR17" i="106"/>
  <c r="AP17" i="106"/>
  <c r="AP74" i="106"/>
  <c r="AQ17" i="106"/>
  <c r="AV109" i="106"/>
  <c r="AW109" i="106" s="1"/>
  <c r="AS13" i="106"/>
  <c r="AQ107" i="106"/>
  <c r="AQ83" i="106"/>
  <c r="AP13" i="106"/>
  <c r="AV13" i="106"/>
  <c r="AW13" i="106" s="1"/>
  <c r="AR21" i="106"/>
  <c r="AZ109" i="106"/>
  <c r="AQ13" i="106"/>
  <c r="AR13" i="106"/>
  <c r="AQ113" i="106"/>
  <c r="AV58" i="106"/>
  <c r="AQ109" i="106"/>
  <c r="AR88" i="106"/>
  <c r="AP38" i="106"/>
  <c r="AQ32" i="106"/>
  <c r="AP109" i="106"/>
  <c r="AD92" i="106"/>
  <c r="AQ85" i="106"/>
  <c r="AQ33" i="106"/>
  <c r="AZ88" i="106"/>
  <c r="AV38" i="106"/>
  <c r="AR109" i="106"/>
  <c r="AD59" i="106"/>
  <c r="AQ38" i="106"/>
  <c r="AQ23" i="106"/>
  <c r="AM109" i="106"/>
  <c r="AV62" i="106"/>
  <c r="AQ108" i="106"/>
  <c r="AP99" i="106"/>
  <c r="AR84" i="106"/>
  <c r="AR36" i="106"/>
  <c r="AV99" i="106"/>
  <c r="AW99" i="106" s="1"/>
  <c r="AP88" i="106"/>
  <c r="AL53" i="106"/>
  <c r="AR108" i="106"/>
  <c r="AR99" i="106"/>
  <c r="AQ87" i="106"/>
  <c r="AV61" i="106"/>
  <c r="AW61" i="106" s="1"/>
  <c r="AD110" i="106"/>
  <c r="AQ19" i="106"/>
  <c r="AQ99" i="106"/>
  <c r="AQ69" i="106"/>
  <c r="AD42" i="106"/>
  <c r="AD26" i="106"/>
  <c r="AD22" i="106"/>
  <c r="AQ61" i="106"/>
  <c r="AQ39" i="106"/>
  <c r="AQ62" i="106"/>
  <c r="AP61" i="106"/>
  <c r="AQ67" i="106"/>
  <c r="AP67" i="106"/>
  <c r="AQ111" i="106"/>
  <c r="AP52" i="106"/>
  <c r="AP62" i="106"/>
  <c r="AD30" i="106"/>
  <c r="AQ73" i="106"/>
  <c r="AR80" i="106"/>
  <c r="AQ84" i="106"/>
  <c r="AQ31" i="106"/>
  <c r="AP41" i="106"/>
  <c r="AV47" i="106"/>
  <c r="AW47" i="106" s="1"/>
  <c r="AD76" i="106"/>
  <c r="AP26" i="106"/>
  <c r="AQ26" i="106"/>
  <c r="AV96" i="106"/>
  <c r="AW96" i="106" s="1"/>
  <c r="AP95" i="106"/>
  <c r="AR26" i="106"/>
  <c r="AP22" i="106"/>
  <c r="AQ91" i="106"/>
  <c r="AD18" i="106"/>
  <c r="AD107" i="106"/>
  <c r="AQ105" i="106"/>
  <c r="AD34" i="106"/>
  <c r="AP47" i="106"/>
  <c r="AV88" i="106"/>
  <c r="AW88" i="106" s="1"/>
  <c r="AQ88" i="106"/>
  <c r="AQ95" i="106"/>
  <c r="AV39" i="106"/>
  <c r="AV95" i="106"/>
  <c r="AW95" i="106" s="1"/>
  <c r="AQ47" i="106"/>
  <c r="AV84" i="106"/>
  <c r="AW84" i="106" s="1"/>
  <c r="AQ53" i="106"/>
  <c r="AR39" i="106"/>
  <c r="AM88" i="106"/>
  <c r="BI13" i="106"/>
  <c r="BI11" i="106" s="1"/>
  <c r="BJ13" i="106"/>
  <c r="BJ11" i="106" s="1"/>
  <c r="AQ93" i="106"/>
  <c r="AC30" i="106"/>
  <c r="AV49" i="106"/>
  <c r="AW49" i="106" s="1"/>
  <c r="AP55" i="106"/>
  <c r="AP82" i="106"/>
  <c r="AR97" i="106"/>
  <c r="AD99" i="106"/>
  <c r="AQ55" i="106"/>
  <c r="AQ49" i="106"/>
  <c r="AD43" i="106"/>
  <c r="AQ34" i="106"/>
  <c r="AP97" i="106"/>
  <c r="AQ86" i="106"/>
  <c r="AQ89" i="106"/>
  <c r="AD98" i="106"/>
  <c r="AQ80" i="106"/>
  <c r="AR22" i="106"/>
  <c r="AL55" i="106"/>
  <c r="AL42" i="106"/>
  <c r="AQ22" i="106"/>
  <c r="AQ15" i="106"/>
  <c r="AV15" i="106"/>
  <c r="AV33" i="106"/>
  <c r="AW33" i="106" s="1"/>
  <c r="AP42" i="106"/>
  <c r="AV54" i="106"/>
  <c r="AW54" i="106" s="1"/>
  <c r="AV41" i="106"/>
  <c r="AW41" i="106" s="1"/>
  <c r="AQ36" i="106"/>
  <c r="AR49" i="106"/>
  <c r="AL58" i="106"/>
  <c r="AC22" i="106"/>
  <c r="AR58" i="106"/>
  <c r="AQ58" i="106"/>
  <c r="AQ82" i="106"/>
  <c r="AD109" i="106"/>
  <c r="AQ41" i="106"/>
  <c r="AQ97" i="106"/>
  <c r="BG13" i="106"/>
  <c r="AK10" i="106" s="1"/>
  <c r="AD87" i="106"/>
  <c r="N87" i="103"/>
  <c r="AD25" i="106"/>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Q29"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27"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29" i="106"/>
  <c r="AD44" i="106"/>
  <c r="N44" i="103"/>
  <c r="AL34" i="106"/>
  <c r="AP21" i="106"/>
  <c r="AR106" i="106"/>
  <c r="AR34" i="106"/>
  <c r="AS110" i="106"/>
  <c r="AM110" i="106"/>
  <c r="AZ110" i="106"/>
  <c r="AS56" i="106"/>
  <c r="AZ56" i="106"/>
  <c r="AM56" i="106"/>
  <c r="AP33" i="106"/>
  <c r="AS33" i="106"/>
  <c r="AZ33" i="106"/>
  <c r="AM33" i="106"/>
  <c r="AM14"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D14" i="106"/>
  <c r="AQ28"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AD13"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Q25" i="106"/>
  <c r="AL22" i="106"/>
  <c r="AD28"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M16" i="106" s="1"/>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C15" i="106"/>
  <c r="AL60" i="106"/>
  <c r="AD24" i="106"/>
  <c r="AL77" i="106"/>
  <c r="AC104" i="106"/>
  <c r="AD104" i="106"/>
  <c r="AC110" i="106"/>
  <c r="AD111" i="106"/>
  <c r="AD113" i="106"/>
  <c r="AL80" i="106"/>
  <c r="AC111" i="106"/>
  <c r="AL96" i="106"/>
  <c r="AD81" i="106"/>
  <c r="AC81" i="106"/>
  <c r="AD112" i="106"/>
  <c r="AC112" i="106"/>
  <c r="AD95" i="106"/>
  <c r="AL54" i="106"/>
  <c r="AC53" i="106"/>
  <c r="AL44" i="106"/>
  <c r="AL21" i="106"/>
  <c r="AL14" i="106"/>
  <c r="AC35" i="106"/>
  <c r="AC19" i="106"/>
  <c r="AL111" i="106"/>
  <c r="AD96" i="106"/>
  <c r="AC96" i="106"/>
  <c r="AL86" i="106"/>
  <c r="AL109" i="106"/>
  <c r="AL43" i="106"/>
  <c r="AL62" i="106"/>
  <c r="AL104" i="106"/>
  <c r="AD79" i="106"/>
  <c r="AC79" i="106"/>
  <c r="AL90" i="106"/>
  <c r="AL67" i="106"/>
  <c r="AL40" i="106"/>
  <c r="AL24" i="106"/>
  <c r="AL51" i="106"/>
  <c r="AC49" i="106"/>
  <c r="AD49" i="106"/>
  <c r="AC27"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D23" i="106"/>
  <c r="AC23" i="106"/>
  <c r="AL49" i="106"/>
  <c r="AL31" i="106"/>
  <c r="AD62" i="106"/>
  <c r="AC62" i="106"/>
  <c r="AD17" i="106"/>
  <c r="AC17" i="106"/>
  <c r="AL89" i="106"/>
  <c r="AD88" i="106"/>
  <c r="AC88" i="106"/>
  <c r="AD55" i="106"/>
  <c r="AC55" i="106"/>
  <c r="AD78" i="106"/>
  <c r="AC78" i="106"/>
  <c r="AD52" i="106"/>
  <c r="AL52" i="106"/>
  <c r="AL41" i="106"/>
  <c r="AD32" i="106"/>
  <c r="AL17" i="106"/>
  <c r="AD40" i="106"/>
  <c r="AD31" i="106"/>
  <c r="AC31" i="106"/>
  <c r="AL20" i="106"/>
  <c r="AD16" i="106"/>
  <c r="AM13" i="106" l="1"/>
  <c r="BJ10" i="106"/>
  <c r="AM17" i="106"/>
  <c r="AM15" i="106"/>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L30" i="103"/>
  <c r="K30" i="103"/>
  <c r="BL30" i="103" s="1"/>
  <c r="J30" i="103"/>
  <c r="I30" i="103"/>
  <c r="H30" i="103"/>
  <c r="G30" i="103"/>
  <c r="BI30" i="103" s="1"/>
  <c r="B30" i="103"/>
  <c r="BD29" i="103"/>
  <c r="BA29" i="103"/>
  <c r="AV29" i="103"/>
  <c r="AU29" i="103"/>
  <c r="AS29" i="103"/>
  <c r="AA29" i="103"/>
  <c r="L29" i="103"/>
  <c r="K29" i="103"/>
  <c r="BL29" i="103" s="1"/>
  <c r="J29" i="103"/>
  <c r="I29" i="103"/>
  <c r="H29" i="103"/>
  <c r="G29" i="103"/>
  <c r="BI29" i="103" s="1"/>
  <c r="B29" i="103"/>
  <c r="BI28" i="103"/>
  <c r="BD28" i="103"/>
  <c r="BA28" i="103"/>
  <c r="AV28" i="103"/>
  <c r="AU28" i="103"/>
  <c r="AS28" i="103"/>
  <c r="AA28" i="103"/>
  <c r="L28" i="103"/>
  <c r="K28" i="103"/>
  <c r="J28" i="103"/>
  <c r="I28" i="103"/>
  <c r="H28" i="103"/>
  <c r="G28" i="103"/>
  <c r="B28" i="103"/>
  <c r="BD27" i="103"/>
  <c r="BA27" i="103"/>
  <c r="AV27" i="103"/>
  <c r="AU27" i="103"/>
  <c r="AS27" i="103"/>
  <c r="AA27" i="103"/>
  <c r="L27" i="103"/>
  <c r="K27" i="103"/>
  <c r="BL27" i="103" s="1"/>
  <c r="J27" i="103"/>
  <c r="I27" i="103"/>
  <c r="H27" i="103"/>
  <c r="G27" i="103"/>
  <c r="BI27" i="103" s="1"/>
  <c r="B27" i="103"/>
  <c r="BD26" i="103"/>
  <c r="BA26" i="103"/>
  <c r="AV26" i="103"/>
  <c r="AU26" i="103"/>
  <c r="AS26" i="103"/>
  <c r="AA26" i="103"/>
  <c r="L26" i="103"/>
  <c r="K26" i="103"/>
  <c r="BL26" i="103" s="1"/>
  <c r="J26" i="103"/>
  <c r="I26" i="103"/>
  <c r="H26" i="103"/>
  <c r="G26" i="103"/>
  <c r="BI26" i="103" s="1"/>
  <c r="B26" i="103"/>
  <c r="BD25" i="103"/>
  <c r="BA25" i="103"/>
  <c r="AV25" i="103"/>
  <c r="AU25" i="103"/>
  <c r="AS25" i="103"/>
  <c r="AA25" i="103"/>
  <c r="L25" i="103"/>
  <c r="K25" i="103"/>
  <c r="J25" i="103"/>
  <c r="I25" i="103"/>
  <c r="H25" i="103"/>
  <c r="G25" i="103"/>
  <c r="BI25" i="103" s="1"/>
  <c r="B25" i="103"/>
  <c r="BD24" i="103"/>
  <c r="BA24" i="103"/>
  <c r="AV24" i="103"/>
  <c r="AU24" i="103"/>
  <c r="AS24" i="103"/>
  <c r="AA24" i="103"/>
  <c r="L24" i="103"/>
  <c r="K24" i="103"/>
  <c r="J24" i="103"/>
  <c r="I24" i="103"/>
  <c r="H24" i="103"/>
  <c r="G24" i="103"/>
  <c r="BI24" i="103" s="1"/>
  <c r="B24" i="103"/>
  <c r="BD23" i="103"/>
  <c r="BA23" i="103"/>
  <c r="AV23" i="103"/>
  <c r="AU23" i="103"/>
  <c r="AS23" i="103"/>
  <c r="AA23" i="103"/>
  <c r="L23" i="103"/>
  <c r="K23" i="103"/>
  <c r="J23" i="103"/>
  <c r="I23" i="103"/>
  <c r="H23" i="103"/>
  <c r="G23" i="103"/>
  <c r="BI23" i="103" s="1"/>
  <c r="B23" i="103"/>
  <c r="BD22" i="103"/>
  <c r="BA22" i="103"/>
  <c r="AV22" i="103"/>
  <c r="AU22" i="103"/>
  <c r="AS22" i="103"/>
  <c r="AA22" i="103"/>
  <c r="L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BO20" i="103" s="1"/>
  <c r="K20" i="103"/>
  <c r="J20" i="103"/>
  <c r="I20" i="103"/>
  <c r="H20" i="103"/>
  <c r="G20" i="103"/>
  <c r="BI20" i="103" s="1"/>
  <c r="B20" i="103"/>
  <c r="BD19" i="103"/>
  <c r="BA19" i="103"/>
  <c r="AV19" i="103"/>
  <c r="AU19" i="103"/>
  <c r="AS19" i="103"/>
  <c r="AA19" i="103"/>
  <c r="L19" i="103"/>
  <c r="K19" i="103"/>
  <c r="BL19" i="103" s="1"/>
  <c r="J19" i="103"/>
  <c r="I19" i="103"/>
  <c r="H19" i="103"/>
  <c r="G19" i="103"/>
  <c r="BI19" i="103" s="1"/>
  <c r="B19" i="103"/>
  <c r="BD18" i="103"/>
  <c r="BA18" i="103"/>
  <c r="AV18" i="103"/>
  <c r="AU18" i="103"/>
  <c r="AS18" i="103"/>
  <c r="AA18" i="103"/>
  <c r="BU18" i="103" s="1"/>
  <c r="BU11" i="103" s="1"/>
  <c r="BV10" i="103" s="1"/>
  <c r="W109" i="105" s="1"/>
  <c r="L18" i="103"/>
  <c r="K18" i="103"/>
  <c r="BL18" i="103" s="1"/>
  <c r="J18" i="103"/>
  <c r="I18" i="103"/>
  <c r="H18" i="103"/>
  <c r="G18" i="103"/>
  <c r="BI18" i="103" s="1"/>
  <c r="B18" i="103"/>
  <c r="BD17" i="103"/>
  <c r="BA17" i="103"/>
  <c r="AV17" i="103"/>
  <c r="AU17" i="103"/>
  <c r="AS17" i="103"/>
  <c r="AA17" i="103"/>
  <c r="L17" i="103"/>
  <c r="K17" i="103"/>
  <c r="J17" i="103"/>
  <c r="I17" i="103"/>
  <c r="H17" i="103"/>
  <c r="G17" i="103"/>
  <c r="BI17" i="103" s="1"/>
  <c r="B17" i="103"/>
  <c r="BD16" i="103"/>
  <c r="BA16" i="103"/>
  <c r="AV16" i="103"/>
  <c r="AU16" i="103"/>
  <c r="AS16" i="103"/>
  <c r="AA16" i="103"/>
  <c r="L16" i="103"/>
  <c r="K16" i="103"/>
  <c r="J16" i="103"/>
  <c r="I16" i="103"/>
  <c r="H16" i="103"/>
  <c r="G16" i="103"/>
  <c r="BI16" i="103" s="1"/>
  <c r="B16" i="103"/>
  <c r="BD15" i="103"/>
  <c r="BA15" i="103"/>
  <c r="AV15" i="103"/>
  <c r="AU15" i="103"/>
  <c r="AS15" i="103"/>
  <c r="AA15" i="103"/>
  <c r="L15" i="103"/>
  <c r="AE15" i="103" s="1"/>
  <c r="K15" i="103"/>
  <c r="BL15" i="103" s="1"/>
  <c r="J15" i="103"/>
  <c r="I15" i="103"/>
  <c r="H15" i="103"/>
  <c r="G15" i="103"/>
  <c r="BI15" i="103" s="1"/>
  <c r="B15" i="103"/>
  <c r="BD14" i="103"/>
  <c r="BA14" i="103"/>
  <c r="AV14" i="103"/>
  <c r="AU14" i="103"/>
  <c r="AS14" i="103"/>
  <c r="AA14" i="103"/>
  <c r="L14" i="103"/>
  <c r="K14" i="103"/>
  <c r="J14" i="103"/>
  <c r="I14" i="103"/>
  <c r="H14" i="103"/>
  <c r="G14" i="103"/>
  <c r="BI14" i="103" s="1"/>
  <c r="B14" i="103"/>
  <c r="BD13" i="103"/>
  <c r="BA13" i="103"/>
  <c r="AV13" i="103"/>
  <c r="AS13" i="103"/>
  <c r="AA13" i="103"/>
  <c r="L13" i="103"/>
  <c r="K13" i="103"/>
  <c r="J13" i="103"/>
  <c r="I13" i="103"/>
  <c r="H13" i="103"/>
  <c r="G13" i="103"/>
  <c r="BI13" i="103" s="1"/>
  <c r="B13" i="103"/>
  <c r="D3" i="103"/>
  <c r="AK1" i="103"/>
  <c r="AE108" i="103" l="1"/>
  <c r="AO78" i="103"/>
  <c r="AT78" i="103" s="1"/>
  <c r="AE110" i="103"/>
  <c r="BB46" i="103"/>
  <c r="AK46" i="105"/>
  <c r="AY51" i="103"/>
  <c r="BO13" i="103"/>
  <c r="BO11" i="103" s="1"/>
  <c r="P13" i="103"/>
  <c r="AC13" i="103" s="1"/>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E19" i="103"/>
  <c r="AO22" i="103"/>
  <c r="AX22" i="103" s="1"/>
  <c r="BL22" i="103"/>
  <c r="AP13" i="103"/>
  <c r="BL13" i="103"/>
  <c r="P19" i="103"/>
  <c r="AE22" i="103"/>
  <c r="BB27" i="103"/>
  <c r="AO29" i="103"/>
  <c r="AT29" i="103" s="1"/>
  <c r="AE35" i="103"/>
  <c r="AO36" i="103"/>
  <c r="AT36" i="103" s="1"/>
  <c r="BB38" i="103"/>
  <c r="AE45" i="103"/>
  <c r="AO88" i="103"/>
  <c r="AY95" i="103"/>
  <c r="AY98" i="103"/>
  <c r="AE106" i="103"/>
  <c r="P22" i="103"/>
  <c r="AD22" i="103" s="1"/>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AC30" i="103" s="1"/>
  <c r="P33" i="103"/>
  <c r="AD33" i="103" s="1"/>
  <c r="AY35" i="103"/>
  <c r="BB36" i="103"/>
  <c r="AE43" i="103"/>
  <c r="AE46" i="103"/>
  <c r="AY67" i="103"/>
  <c r="AE74" i="103"/>
  <c r="AP91" i="103"/>
  <c r="BL91" i="103"/>
  <c r="AP97" i="103"/>
  <c r="BL97" i="103"/>
  <c r="AY100" i="103"/>
  <c r="AO104" i="103"/>
  <c r="AR104" i="103" s="1"/>
  <c r="BL104" i="103"/>
  <c r="AP107" i="103"/>
  <c r="BL107" i="103"/>
  <c r="AT81" i="103"/>
  <c r="AE18" i="103"/>
  <c r="AE29" i="103"/>
  <c r="AQ29" i="103" s="1"/>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E17" i="103"/>
  <c r="AE26" i="103"/>
  <c r="AY27" i="103"/>
  <c r="AP27" i="103"/>
  <c r="AE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16" i="103"/>
  <c r="AE44" i="103"/>
  <c r="AE13" i="103"/>
  <c r="AY13" i="103"/>
  <c r="AO21" i="103"/>
  <c r="AL21" i="103" s="1"/>
  <c r="AE30" i="103"/>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AE23" i="103"/>
  <c r="P27" i="103"/>
  <c r="AD27" i="103" s="1"/>
  <c r="AE28"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E14" i="103"/>
  <c r="AE24"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Q15" i="103" s="1"/>
  <c r="AP15" i="103"/>
  <c r="AY21" i="103"/>
  <c r="AE25"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BK13" i="103" s="1"/>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D14" i="103" s="1"/>
  <c r="AO32" i="103"/>
  <c r="AR48" i="103"/>
  <c r="AY54" i="103"/>
  <c r="P55" i="103"/>
  <c r="AD55" i="103" s="1"/>
  <c r="BB58" i="103"/>
  <c r="AY63" i="103"/>
  <c r="P71" i="103"/>
  <c r="AY73" i="103"/>
  <c r="P80" i="103"/>
  <c r="AC80" i="103" s="1"/>
  <c r="P88" i="103"/>
  <c r="AC88" i="103" s="1"/>
  <c r="BB93" i="103"/>
  <c r="AO94" i="103"/>
  <c r="AR94" i="103" s="1"/>
  <c r="AY103" i="103"/>
  <c r="BB104" i="103"/>
  <c r="BB20" i="103"/>
  <c r="P29" i="103"/>
  <c r="AC29" i="103" s="1"/>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AC15" i="103" s="1"/>
  <c r="BB15" i="103"/>
  <c r="AH10" i="103"/>
  <c r="AK42" i="105" s="1"/>
  <c r="AY17" i="103"/>
  <c r="P17" i="103"/>
  <c r="AO17" i="103"/>
  <c r="BB17" i="103"/>
  <c r="AY18" i="103"/>
  <c r="P18" i="103"/>
  <c r="AD18" i="103" s="1"/>
  <c r="AY26" i="103"/>
  <c r="P26" i="103"/>
  <c r="AC26" i="103" s="1"/>
  <c r="AO26" i="103"/>
  <c r="BB13" i="103"/>
  <c r="AD19" i="103"/>
  <c r="AC19" i="103"/>
  <c r="AY25" i="103"/>
  <c r="P25" i="103"/>
  <c r="AO25" i="103"/>
  <c r="BB25" i="103"/>
  <c r="AO53" i="103"/>
  <c r="AY53" i="103"/>
  <c r="P53" i="103"/>
  <c r="AC53" i="103" s="1"/>
  <c r="BB53" i="103"/>
  <c r="AO19" i="103"/>
  <c r="P20" i="103"/>
  <c r="AO27" i="103"/>
  <c r="P28" i="103"/>
  <c r="AD28" i="103" s="1"/>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AC16" i="103" s="1"/>
  <c r="BB21" i="103"/>
  <c r="AO23" i="103"/>
  <c r="P24" i="103"/>
  <c r="BB29" i="103"/>
  <c r="AY31" i="103"/>
  <c r="AY37" i="103"/>
  <c r="P39" i="103"/>
  <c r="P23" i="103"/>
  <c r="AC23" i="103" s="1"/>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AR29" i="103" l="1"/>
  <c r="AQ77" i="103"/>
  <c r="AC112" i="103"/>
  <c r="AQ32" i="103"/>
  <c r="AX71" i="103"/>
  <c r="AL71" i="103"/>
  <c r="AL22" i="103"/>
  <c r="AR101" i="103"/>
  <c r="AC84" i="103"/>
  <c r="AC98" i="103"/>
  <c r="AL63" i="103"/>
  <c r="AC27" i="103"/>
  <c r="AQ92" i="103"/>
  <c r="AD106" i="103"/>
  <c r="AQ54" i="103"/>
  <c r="AL28" i="103"/>
  <c r="AQ36" i="103"/>
  <c r="AQ62" i="103"/>
  <c r="AQ71" i="103"/>
  <c r="AR63" i="103"/>
  <c r="AL29" i="103"/>
  <c r="AR22" i="103"/>
  <c r="AQ67" i="103"/>
  <c r="AD75" i="103"/>
  <c r="AQ16" i="103"/>
  <c r="AC22" i="103"/>
  <c r="AQ43" i="103"/>
  <c r="AC33" i="103"/>
  <c r="AQ112" i="103"/>
  <c r="AQ96" i="103"/>
  <c r="AX62" i="103"/>
  <c r="AQ65" i="103"/>
  <c r="AZ78" i="103"/>
  <c r="AQ80" i="103"/>
  <c r="AQ83" i="103"/>
  <c r="AD104" i="103"/>
  <c r="AL85" i="103"/>
  <c r="AQ22" i="103"/>
  <c r="AQ72" i="103"/>
  <c r="AD37" i="103"/>
  <c r="AQ98" i="103"/>
  <c r="AL45" i="103"/>
  <c r="AR113" i="103"/>
  <c r="AL113" i="103"/>
  <c r="AX80" i="103"/>
  <c r="AC68" i="103"/>
  <c r="AL94" i="103"/>
  <c r="AR21" i="103"/>
  <c r="AD52" i="103"/>
  <c r="AX110" i="103"/>
  <c r="AR32" i="103"/>
  <c r="AD30" i="103"/>
  <c r="AR103" i="103"/>
  <c r="AQ45" i="103"/>
  <c r="AL110" i="103"/>
  <c r="AC38" i="103"/>
  <c r="AL103" i="103"/>
  <c r="AL34" i="103"/>
  <c r="AX36" i="103"/>
  <c r="AQ17"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D29" i="103"/>
  <c r="AL15" i="103"/>
  <c r="AL93" i="103"/>
  <c r="AX44" i="103"/>
  <c r="AD90" i="103"/>
  <c r="AL67" i="103"/>
  <c r="AR44" i="103"/>
  <c r="AR36" i="103"/>
  <c r="AQ44" i="103"/>
  <c r="AL14" i="103"/>
  <c r="AC81" i="103"/>
  <c r="AQ14" i="103"/>
  <c r="AD103" i="103"/>
  <c r="AX65" i="103"/>
  <c r="AQ93" i="103"/>
  <c r="AL57" i="103"/>
  <c r="AL35" i="103"/>
  <c r="AQ35" i="103"/>
  <c r="AT72" i="103"/>
  <c r="AD113" i="103"/>
  <c r="AR65" i="103"/>
  <c r="AX57" i="103"/>
  <c r="AX35" i="103"/>
  <c r="AL36" i="103"/>
  <c r="AR18" i="103"/>
  <c r="AT110" i="103"/>
  <c r="AX14" i="103"/>
  <c r="AR14" i="103"/>
  <c r="BP13" i="103"/>
  <c r="AQ28"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D26" i="103"/>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BG13" i="103" s="1"/>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C14" i="103"/>
  <c r="AQ18" i="103"/>
  <c r="AX18" i="103"/>
  <c r="AX45" i="103"/>
  <c r="AT45" i="103"/>
  <c r="AX101" i="103"/>
  <c r="AT101" i="103"/>
  <c r="AR87" i="103"/>
  <c r="AQ91" i="103"/>
  <c r="AT91" i="103"/>
  <c r="AQ99" i="103"/>
  <c r="AR68" i="103"/>
  <c r="AC34" i="103"/>
  <c r="AQ42" i="103"/>
  <c r="AT42" i="103"/>
  <c r="AC18" i="103"/>
  <c r="N6" i="103" s="1"/>
  <c r="AL64" i="103"/>
  <c r="AR20" i="103"/>
  <c r="AQ13"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27" i="103"/>
  <c r="AQ51" i="103"/>
  <c r="AX30" i="103"/>
  <c r="AL30" i="103"/>
  <c r="AD96" i="103"/>
  <c r="AQ23" i="103"/>
  <c r="AD15" i="103"/>
  <c r="AX67" i="103"/>
  <c r="AR67" i="103"/>
  <c r="AX37" i="103"/>
  <c r="AX24" i="103"/>
  <c r="AL24" i="103"/>
  <c r="AR24" i="103"/>
  <c r="AQ66" i="103"/>
  <c r="AC94" i="103"/>
  <c r="AX73" i="103"/>
  <c r="AC35" i="103"/>
  <c r="AC71" i="103"/>
  <c r="AD71" i="103"/>
  <c r="AQ24" i="103"/>
  <c r="AC111" i="103"/>
  <c r="AD88" i="103"/>
  <c r="AR73" i="103"/>
  <c r="AC43" i="103"/>
  <c r="AX16" i="103"/>
  <c r="AL16" i="103"/>
  <c r="AR16" i="103"/>
  <c r="AX32" i="103"/>
  <c r="AX98" i="103"/>
  <c r="AL98" i="103"/>
  <c r="AD105" i="103"/>
  <c r="AQ52" i="103"/>
  <c r="AR30" i="103"/>
  <c r="AQ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C28" i="103"/>
  <c r="AX31" i="103"/>
  <c r="AR31" i="103"/>
  <c r="AL31" i="103"/>
  <c r="AR42" i="103"/>
  <c r="AX42" i="103"/>
  <c r="AL42" i="103"/>
  <c r="AQ33" i="103"/>
  <c r="AR27" i="103"/>
  <c r="AX27" i="103"/>
  <c r="AL27" i="103"/>
  <c r="AC25" i="103"/>
  <c r="AD25" i="103"/>
  <c r="AC51" i="103"/>
  <c r="AL59" i="103"/>
  <c r="AR59" i="103"/>
  <c r="AX59" i="103"/>
  <c r="AR25" i="103"/>
  <c r="AX25" i="103"/>
  <c r="AL25" i="103"/>
  <c r="AC17" i="103"/>
  <c r="AD17" i="103"/>
  <c r="AQ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Q19" i="103"/>
  <c r="AC44" i="103"/>
  <c r="AD61" i="103"/>
  <c r="AD16" i="103"/>
  <c r="AQ50" i="103"/>
  <c r="AQ41" i="103"/>
  <c r="AQ26"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C24" i="103"/>
  <c r="AD2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D23" i="103"/>
  <c r="AR17" i="103"/>
  <c r="AX17" i="103"/>
  <c r="AL17" i="103"/>
  <c r="BE15" i="103" l="1"/>
  <c r="BG15" i="103" s="1"/>
  <c r="AM15" i="103"/>
  <c r="BG95" i="103"/>
  <c r="BH95" i="103" s="1"/>
  <c r="BG47" i="103"/>
  <c r="BH47" i="103" s="1"/>
  <c r="BG45" i="103"/>
  <c r="BH45" i="103" s="1"/>
  <c r="BG101" i="103"/>
  <c r="BH101" i="103" s="1"/>
  <c r="BG76" i="103"/>
  <c r="BG41" i="103"/>
  <c r="BG58" i="103"/>
  <c r="BG48" i="103"/>
  <c r="BH48" i="103" s="1"/>
  <c r="AM17" i="103"/>
  <c r="BG90" i="103"/>
  <c r="BH90" i="103" s="1"/>
  <c r="BG49" i="103"/>
  <c r="BG51" i="103"/>
  <c r="BG24" i="103"/>
  <c r="BH24" i="103" s="1"/>
  <c r="BG17" i="103"/>
  <c r="BG97" i="103"/>
  <c r="BG86" i="103"/>
  <c r="BH86" i="103" s="1"/>
  <c r="BG112" i="103"/>
  <c r="BH112" i="103" s="1"/>
  <c r="AM14" i="103"/>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AM19" i="103"/>
  <c r="BG35" i="103"/>
  <c r="BG107" i="103"/>
  <c r="BG38" i="103"/>
  <c r="BH38" i="103" s="1"/>
  <c r="BG31" i="103"/>
  <c r="BG91" i="103"/>
  <c r="BG64" i="103"/>
  <c r="BH64" i="103" s="1"/>
  <c r="BG53" i="103"/>
  <c r="AM16" i="103"/>
  <c r="BG88" i="103"/>
  <c r="BH88" i="103" s="1"/>
  <c r="BG57" i="103"/>
  <c r="BH57" i="103" s="1"/>
  <c r="BG34" i="103"/>
  <c r="BH34" i="103" s="1"/>
  <c r="BG21" i="103"/>
  <c r="BG87" i="103"/>
  <c r="BG67" i="103"/>
  <c r="BG84" i="103"/>
  <c r="BG23" i="103"/>
  <c r="BG61" i="103"/>
  <c r="BG66" i="103"/>
  <c r="AM13" i="103"/>
  <c r="BG26" i="103"/>
  <c r="BG50" i="103"/>
  <c r="BG63" i="103"/>
  <c r="BG71" i="103"/>
  <c r="BG72" i="103"/>
  <c r="BG43" i="103"/>
  <c r="BG79" i="103"/>
  <c r="BE46" i="105"/>
  <c r="AK146" i="105" s="1"/>
  <c r="BE42" i="105"/>
  <c r="BG108" i="103"/>
  <c r="BG25" i="103"/>
  <c r="BG99" i="103"/>
  <c r="BG82" i="103"/>
  <c r="BG62" i="103"/>
  <c r="BH62" i="103" s="1"/>
  <c r="BG73" i="103"/>
  <c r="BH73" i="103" s="1"/>
  <c r="BG102" i="103"/>
  <c r="BG111" i="103"/>
  <c r="BG80" i="103"/>
  <c r="BH80" i="103" s="1"/>
  <c r="BG27" i="103"/>
  <c r="BH13" i="103"/>
  <c r="BH46" i="103"/>
  <c r="BH56" i="103"/>
  <c r="BH78" i="103"/>
  <c r="BH40" i="103"/>
  <c r="BH15" i="103" l="1"/>
  <c r="AM18" i="103"/>
  <c r="BG14" i="103"/>
  <c r="BH14" i="103" s="1"/>
  <c r="BH35" i="103"/>
  <c r="BH67" i="103"/>
  <c r="BG19" i="103"/>
  <c r="BH19" i="103" s="1"/>
  <c r="BH72" i="103"/>
  <c r="BG20" i="103"/>
  <c r="BH20" i="103" s="1"/>
  <c r="AI61" i="105"/>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AP35" i="73" l="1"/>
  <c r="AQ35" i="73" l="1"/>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21" i="106" l="1"/>
  <c r="L21" i="103"/>
  <c r="L20" i="106"/>
  <c r="L20" i="103"/>
  <c r="AD13" i="103"/>
  <c r="AE21" i="103" l="1"/>
  <c r="AQ21" i="103" s="1"/>
  <c r="AD21" i="103"/>
  <c r="AC21" i="103"/>
  <c r="AE21" i="106"/>
  <c r="AQ21" i="106" s="1"/>
  <c r="AC21" i="106"/>
  <c r="AD21" i="106"/>
  <c r="AE20" i="103"/>
  <c r="AC20" i="103"/>
  <c r="BP20" i="103" s="1"/>
  <c r="BP11" i="103" s="1"/>
  <c r="BO10" i="103" s="1"/>
  <c r="AD20" i="103"/>
  <c r="AE20" i="106"/>
  <c r="AQ20" i="106" s="1"/>
  <c r="AD20" i="106"/>
  <c r="AC20" i="106"/>
  <c r="W108" i="105" l="1"/>
  <c r="W110" i="105" s="1"/>
  <c r="AC110" i="105" s="1"/>
  <c r="L7" i="106"/>
  <c r="K8" i="103"/>
  <c r="L5" i="106"/>
  <c r="AE10" i="106"/>
  <c r="L6" i="106" s="1"/>
  <c r="AM20" i="106"/>
  <c r="K6" i="103"/>
  <c r="L6" i="103"/>
  <c r="AQ20" i="103"/>
  <c r="L7"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Q17" i="105" l="1"/>
  <c r="Q21" i="105" s="1"/>
  <c r="Y21" i="105" s="1"/>
  <c r="AA21" i="105" s="1"/>
  <c r="Q16" i="105"/>
  <c r="Y18" i="105" s="1"/>
  <c r="AK140" i="105" s="1"/>
  <c r="AE10" i="103"/>
  <c r="K7" i="103" s="1"/>
  <c r="T31" i="105" s="1"/>
  <c r="AB31" i="105" s="1"/>
  <c r="AM20" i="103"/>
  <c r="AO18" i="73"/>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tc={1EDF003E-D3C1-4952-B3CF-8D90466F84B0}</author>
    <author>tc={369BEC7A-C1E1-4873-B778-DC7134328361}</author>
    <author>tc={3BAC8D45-2311-4470-A43D-2A115BBEAEE3}</author>
    <author>作成者</author>
  </authors>
  <commentList>
    <comment ref="Y1" authorId="0" shapeId="0" xr:uid="{1EDF003E-D3C1-4952-B3CF-8D90466F84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text>
    </comment>
    <comment ref="O2" authorId="1" shapeId="0" xr:uid="{369BEC7A-C1E1-4873-B778-DC71343283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text>
    </comment>
    <comment ref="AY12" authorId="2" shapeId="0" xr:uid="{3BAC8D45-2311-4470-A43D-2A115BBEAE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text>
    </comment>
    <comment ref="T22" authorId="3"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<sst xmlns="http://schemas.openxmlformats.org/spreadsheetml/2006/main" count="7573" uniqueCount="2530">
  <si>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</si>
  <si>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</si>
  <si>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</si>
  <si>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</si>
  <si>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</si>
  <si>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</si>
  <si>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</si>
  <si>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</si>
  <si>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</si>
  <si>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</si>
  <si>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</si>
  <si>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</si>
  <si>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100</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</si>
  <si>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</si>
  <si>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</si>
  <si>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</si>
  <si>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</si>
  <si>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○○ビル○○号室</t>
    <rPh sb="6" eb="8">
      <t>ゴウシツ</t>
    </rPh>
    <phoneticPr fontId="13"/>
  </si>
  <si>
    <t>法人
代表者</t>
    <phoneticPr fontId="13"/>
  </si>
  <si>
    <t>職名</t>
    <rPh sb="0" eb="2">
      <t>ショクメイ</t>
    </rPh>
    <phoneticPr fontId="13"/>
  </si>
  <si>
    <t>代表取締役</t>
    <rPh sb="0" eb="2">
      <t>ダイヒョウ</t>
    </rPh>
    <rPh sb="2" eb="5">
      <t>トリシマリヤク</t>
    </rPh>
    <phoneticPr fontId="13"/>
  </si>
  <si>
    <t>氏名</t>
    <rPh sb="0" eb="2">
      <t>シメイ</t>
    </rPh>
    <phoneticPr fontId="13"/>
  </si>
  <si>
    <t>法人番号</t>
    <phoneticPr fontId="13"/>
  </si>
  <si>
    <t>書類作成
担当者</t>
    <phoneticPr fontId="13"/>
  </si>
  <si>
    <t>厚労　太郎</t>
    <rPh sb="0" eb="2">
      <t>コウロウ</t>
    </rPh>
    <rPh sb="3" eb="5">
      <t>タロウ</t>
    </rPh>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</si>
  <si>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</si>
  <si>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</si>
  <si>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</si>
  <si>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</si>
  <si>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</si>
  <si>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t>
  </si>
  <si>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</si>
  <si>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</si>
  <si>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</si>
  <si>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</si>
  <si>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</si>
  <si>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</si>
  <si>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</si>
  <si>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</si>
  <si>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東京都</t>
    <rPh sb="0" eb="3">
      <t>トウキョウト</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</si>
  <si>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</si>
  <si>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</si>
  <si>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</si>
  <si>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</si>
  <si>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</si>
  <si>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</si>
  <si>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</si>
  <si>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</si>
  <si>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</si>
  <si>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</si>
  <si>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</si>
  <si>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</si>
  <si>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</si>
  <si>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</si>
  <si>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</si>
  <si>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</si>
  <si>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</si>
  <si>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</si>
  <si>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</si>
  <si>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</si>
  <si>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</si>
  <si>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</si>
  <si>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</si>
  <si>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</si>
  <si>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</si>
  <si>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</si>
  <si>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</si>
  <si>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</si>
  <si>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</si>
  <si>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</si>
  <si>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</si>
  <si>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</si>
  <si>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</si>
  <si>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</si>
  <si>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</si>
  <si>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</si>
  <si>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</si>
  <si>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</si>
  <si>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</si>
  <si>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</si>
  <si>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</si>
  <si>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</si>
  <si>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</si>
  <si>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</si>
  <si>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</si>
  <si>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</si>
  <si>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</si>
  <si>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</si>
  <si>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</si>
  <si>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</si>
  <si>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</si>
  <si>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</si>
  <si>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</si>
  <si>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</si>
  <si>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</si>
  <si>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</si>
  <si>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</si>
  <si>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</si>
  <si>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</si>
  <si>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</si>
  <si>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</si>
  <si>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</si>
  <si>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</si>
  <si>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</si>
  <si>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</si>
  <si>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</si>
  <si>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</si>
  <si>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</si>
  <si>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</si>
  <si>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</si>
  <si>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</si>
  <si>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</si>
  <si>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</si>
  <si>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</si>
  <si>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</si>
  <si>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</si>
  <si>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</si>
  <si>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</si>
  <si>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</si>
  <si>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</si>
  <si>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</si>
  <si>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</si>
  <si>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</si>
  <si>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</si>
  <si>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</si>
  <si>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</si>
  <si>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</si>
  <si>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</si>
  <si>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</si>
  <si>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</si>
  <si>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</si>
  <si>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</si>
  <si>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</si>
  <si>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</si>
  <si>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</si>
  <si>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</si>
  <si>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</si>
  <si>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</si>
  <si>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</si>
  <si>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</si>
  <si>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</si>
  <si>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</si>
  <si>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</si>
  <si>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</si>
  <si>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</si>
  <si>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</si>
  <si>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</si>
  <si>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</si>
  <si>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</si>
  <si>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</si>
  <si>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</si>
  <si>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</si>
  <si>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</si>
  <si>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</si>
  <si>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</si>
  <si>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</si>
  <si>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</si>
  <si>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</si>
  <si>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</si>
  <si>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</si>
  <si>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</si>
  <si>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</si>
  <si>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</si>
  <si>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</si>
  <si>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</si>
  <si>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</si>
  <si>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</si>
  <si>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</si>
  <si>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</si>
  <si>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</si>
  <si>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</si>
  <si>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</si>
  <si>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</si>
  <si>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</si>
  <si>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</si>
  <si>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</si>
  <si>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</si>
  <si>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</si>
  <si>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</si>
  <si>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</si>
  <si>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</si>
  <si>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</si>
  <si>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</si>
  <si>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</si>
  <si>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</si>
  <si>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</si>
  <si>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</si>
  <si>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</si>
  <si>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</si>
  <si>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</si>
  <si>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</si>
  <si>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</si>
  <si>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</si>
  <si>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</si>
  <si>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</si>
  <si>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</si>
  <si>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</si>
  <si>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</si>
  <si>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</si>
  <si>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</si>
  <si>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</si>
  <si>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</si>
  <si>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</si>
  <si>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</si>
  <si>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</si>
  <si>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</si>
  <si>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</si>
  <si>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</si>
  <si>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</si>
  <si>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</si>
  <si>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</si>
  <si>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</si>
  <si>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</si>
  <si>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</si>
  <si>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</si>
  <si>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</si>
  <si>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</si>
  <si>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</si>
  <si>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</si>
  <si>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</si>
  <si>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</si>
  <si>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</si>
  <si>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</si>
  <si>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</si>
  <si>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</si>
  <si>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</si>
  <si>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</si>
  <si>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</si>
  <si>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</si>
  <si>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</si>
  <si>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</si>
  <si>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</si>
  <si>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</si>
  <si>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</si>
  <si>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</si>
  <si>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</si>
  <si>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</si>
  <si>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</si>
  <si>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</si>
  <si>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</si>
  <si>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</si>
  <si>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</si>
  <si>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</si>
  <si>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</si>
  <si>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</si>
  <si>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</si>
  <si>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</si>
  <si>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</si>
  <si>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</si>
  <si>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</si>
  <si>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</si>
  <si>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</si>
  <si>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</si>
  <si>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</si>
  <si>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</si>
  <si>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</si>
  <si>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</si>
  <si>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</si>
  <si>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</si>
  <si>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</si>
  <si>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</si>
  <si>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</si>
  <si>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</si>
  <si>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</si>
  <si>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</si>
  <si>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</si>
  <si>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</si>
  <si>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</si>
  <si>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</si>
  <si>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</si>
  <si>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</si>
  <si>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</si>
  <si>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</si>
  <si>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</si>
  <si>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</si>
  <si>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</si>
  <si>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</si>
  <si>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</si>
  <si>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</si>
  <si>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</si>
  <si>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</si>
  <si>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</si>
  <si>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</si>
  <si>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</si>
  <si>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</si>
  <si>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</si>
  <si>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</si>
  <si>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</si>
  <si>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</si>
  <si>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</si>
  <si>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</si>
  <si>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</si>
  <si>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</si>
  <si>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</si>
  <si>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</si>
  <si>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</si>
  <si>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</si>
  <si>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</si>
  <si>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</si>
  <si>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</si>
  <si>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</si>
  <si>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</si>
  <si>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</si>
  <si>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</si>
  <si>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</si>
  <si>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</si>
  <si>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</si>
  <si>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</si>
  <si>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</si>
  <si>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</si>
  <si>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</si>
  <si>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</si>
  <si>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</si>
  <si>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</si>
  <si>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</si>
  <si>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</si>
  <si>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</si>
  <si>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</si>
  <si>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</si>
  <si>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</si>
  <si>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</si>
  <si>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</si>
  <si>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</si>
  <si>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</si>
  <si>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</si>
  <si>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</si>
  <si>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</si>
  <si>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</si>
  <si>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</si>
  <si>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</si>
  <si>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</si>
  <si>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</si>
  <si>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</si>
  <si>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</si>
  <si>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</si>
  <si>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</si>
  <si>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</si>
  <si>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</si>
  <si>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</si>
  <si>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</si>
  <si>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</si>
  <si>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</si>
  <si>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</si>
  <si>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</si>
  <si>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</si>
  <si>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</si>
  <si>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</si>
  <si>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</si>
  <si>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</si>
  <si>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</si>
  <si>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</si>
  <si>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</si>
  <si>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</si>
  <si>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</si>
  <si>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</si>
  <si>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</si>
  <si>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</si>
  <si>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</si>
  <si>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</si>
  <si>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</si>
  <si>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</si>
  <si>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</si>
  <si>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</si>
  <si>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</si>
  <si>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</si>
  <si>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</si>
  <si>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</si>
  <si>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</si>
  <si>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</si>
  <si>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</si>
  <si>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</si>
  <si>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</si>
  <si>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</si>
  <si>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</si>
  <si>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</si>
  <si>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</si>
  <si>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</si>
  <si>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</si>
  <si>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</si>
  <si>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</si>
  <si>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</si>
  <si>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</si>
  <si>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</si>
  <si>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</si>
  <si>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</si>
  <si>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</si>
  <si>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</si>
  <si>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</si>
  <si>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</si>
  <si>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</si>
  <si>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</si>
  <si>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</si>
  <si>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</si>
  <si>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</si>
  <si>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</si>
  <si>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</si>
  <si>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</si>
  <si>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</si>
  <si>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</si>
  <si>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</si>
  <si>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</si>
  <si>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</si>
  <si>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</si>
  <si>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</si>
  <si>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</si>
  <si>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</si>
  <si>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</si>
  <si>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</si>
  <si>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</si>
  <si>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</si>
  <si>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</si>
  <si>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</si>
  <si>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</si>
  <si>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</si>
  <si>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</si>
  <si>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</si>
  <si>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</si>
  <si>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</si>
  <si>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</si>
  <si>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</si>
  <si>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</si>
  <si>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</si>
  <si>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</si>
  <si>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</si>
  <si>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</si>
  <si>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</si>
  <si>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</si>
  <si>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</si>
  <si>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</si>
  <si>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</si>
  <si>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</si>
  <si>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</si>
  <si>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</si>
  <si>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</si>
  <si>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</si>
  <si>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</si>
  <si>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</si>
  <si>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</si>
  <si>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</si>
  <si>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</si>
  <si>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</si>
  <si>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</si>
  <si>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</si>
  <si>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</si>
  <si>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</si>
  <si>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</si>
  <si>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</si>
  <si>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</si>
  <si>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</si>
  <si>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</si>
  <si>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</si>
  <si>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</si>
  <si>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</si>
  <si>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</si>
  <si>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</si>
  <si>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</si>
  <si>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</si>
  <si>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</si>
  <si>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</si>
  <si>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</si>
  <si>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</si>
  <si>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</si>
  <si>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</si>
  <si>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</si>
  <si>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</si>
  <si>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</si>
  <si>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</si>
  <si>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</si>
  <si>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</si>
  <si>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</si>
  <si>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</si>
  <si>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</si>
  <si>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</si>
  <si>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</si>
  <si>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</si>
  <si>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</si>
  <si>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</si>
  <si>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</si>
  <si>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</si>
  <si>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</si>
  <si>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</si>
  <si>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</si>
  <si>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</si>
  <si>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</si>
  <si>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</si>
  <si>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</si>
  <si>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</si>
  <si>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</si>
  <si>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</si>
  <si>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</si>
  <si>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</si>
  <si>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</si>
  <si>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</si>
  <si>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</si>
  <si>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</si>
  <si>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</si>
  <si>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</si>
  <si>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</si>
  <si>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</si>
  <si>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</si>
  <si>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</si>
  <si>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</si>
  <si>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</si>
  <si>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</si>
  <si>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</si>
  <si>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</si>
  <si>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</si>
  <si>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</si>
  <si>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</si>
  <si>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</si>
  <si>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</si>
  <si>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</si>
  <si>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</si>
  <si>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</si>
  <si>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</si>
  <si>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</si>
  <si>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</si>
  <si>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</si>
  <si>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</si>
  <si>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</si>
  <si>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</si>
  <si>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</si>
  <si>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</si>
  <si>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</si>
  <si>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</si>
  <si>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</si>
  <si>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</si>
  <si>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</si>
  <si>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</si>
  <si>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</si>
  <si>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</si>
  <si>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</si>
  <si>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</si>
  <si>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</si>
  <si>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</si>
  <si>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</si>
  <si>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</si>
  <si>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</si>
  <si>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</si>
  <si>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</si>
  <si>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</si>
  <si>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</si>
  <si>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</si>
  <si>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</si>
  <si>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</si>
  <si>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</si>
  <si>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</si>
  <si>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</si>
  <si>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</si>
  <si>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</si>
  <si>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</si>
  <si>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</si>
  <si>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</si>
  <si>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</si>
  <si>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</si>
  <si>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</si>
  <si>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</si>
  <si>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</si>
  <si>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</si>
  <si>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</si>
  <si>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</si>
  <si>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</si>
  <si>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</si>
  <si>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</si>
  <si>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</si>
  <si>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</si>
  <si>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</si>
  <si>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</si>
  <si>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</si>
  <si>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</si>
  <si>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</si>
  <si>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</si>
  <si>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</si>
  <si>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</si>
  <si>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</si>
  <si>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</si>
  <si>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</si>
  <si>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</si>
  <si>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</si>
  <si>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</si>
  <si>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</si>
  <si>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</si>
  <si>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</si>
  <si>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</si>
  <si>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</si>
  <si>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</si>
  <si>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</si>
  <si>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</si>
  <si>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</si>
  <si>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</si>
  <si>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</si>
  <si>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</si>
  <si>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</si>
  <si>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</si>
  <si>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</si>
  <si>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</si>
  <si>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</si>
  <si>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</si>
  <si>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</si>
  <si>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</si>
  <si>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</si>
  <si>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</si>
  <si>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</si>
  <si>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</si>
  <si>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</si>
  <si>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</si>
  <si>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</si>
  <si>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</si>
  <si>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</si>
  <si>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</si>
  <si>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</si>
  <si>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</si>
  <si>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</si>
  <si>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</si>
  <si>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</si>
  <si>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</si>
  <si>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</si>
  <si>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</si>
  <si>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</si>
  <si>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</si>
  <si>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</si>
  <si>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</si>
  <si>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</si>
  <si>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</si>
  <si>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</si>
  <si>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</si>
  <si>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</si>
  <si>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</si>
  <si>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</si>
  <si>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</si>
  <si>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</si>
  <si>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</si>
  <si>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</si>
  <si>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</si>
  <si>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</si>
  <si>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</si>
  <si>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</si>
  <si>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</si>
  <si>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</si>
  <si>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</si>
  <si>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</si>
  <si>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</si>
  <si>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</si>
  <si>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</si>
  <si>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</si>
  <si>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</si>
  <si>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</si>
  <si>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</si>
  <si>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</si>
  <si>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</si>
  <si>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</si>
  <si>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</si>
  <si>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</si>
  <si>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</si>
  <si>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</si>
  <si>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</si>
  <si>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</si>
  <si>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</si>
  <si>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</si>
  <si>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</si>
  <si>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</si>
  <si>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</si>
  <si>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</si>
  <si>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</si>
  <si>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</si>
  <si>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</si>
  <si>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</si>
  <si>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</si>
  <si>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</si>
  <si>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</si>
  <si>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</si>
  <si>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</si>
  <si>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</si>
  <si>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</si>
  <si>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</si>
  <si>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</si>
  <si>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</si>
  <si>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</si>
  <si>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</si>
  <si>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</si>
  <si>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</si>
  <si>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</si>
  <si>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</si>
  <si>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</si>
  <si>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</si>
  <si>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</si>
  <si>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</si>
  <si>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</si>
  <si>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</si>
  <si>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</si>
  <si>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</si>
  <si>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</si>
  <si>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</si>
  <si>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</si>
  <si>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</si>
  <si>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</si>
  <si>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</si>
  <si>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</si>
  <si>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</si>
  <si>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</si>
  <si>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</si>
  <si>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</si>
  <si>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</si>
  <si>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</si>
  <si>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</si>
  <si>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</si>
  <si>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</si>
  <si>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</si>
  <si>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</si>
  <si>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</si>
  <si>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</si>
  <si>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</si>
  <si>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</si>
  <si>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</si>
  <si>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</si>
  <si>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</si>
  <si>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</si>
  <si>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</si>
  <si>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</si>
  <si>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</si>
  <si>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</si>
  <si>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</si>
  <si>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</si>
  <si>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</si>
  <si>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</si>
  <si>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</si>
  <si>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</si>
  <si>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</si>
  <si>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</si>
  <si>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</si>
  <si>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</si>
  <si>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</si>
  <si>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</si>
  <si>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</si>
  <si>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</si>
  <si>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</si>
  <si>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</si>
  <si>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</si>
  <si>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</si>
  <si>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</si>
  <si>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</si>
  <si>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</si>
  <si>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</si>
  <si>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</si>
  <si>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</si>
  <si>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</si>
  <si>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</si>
  <si>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</si>
  <si>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</si>
  <si>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</si>
  <si>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</si>
  <si>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</si>
  <si>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</si>
  <si>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</si>
  <si>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</si>
  <si>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</si>
  <si>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</si>
  <si>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</si>
  <si>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</si>
  <si>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</si>
  <si>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</si>
  <si>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</si>
  <si>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</si>
  <si>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</si>
  <si>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</si>
  <si>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</si>
  <si>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</si>
  <si>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</si>
  <si>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</si>
  <si>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</si>
  <si>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</si>
  <si>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</si>
  <si>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</si>
  <si>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</si>
  <si>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</si>
  <si>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</si>
  <si>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</si>
  <si>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</si>
  <si>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</si>
  <si>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</si>
  <si>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</si>
  <si>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</si>
  <si>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</si>
  <si>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</si>
  <si>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</si>
  <si>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</si>
  <si>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</si>
  <si>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</si>
  <si>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</si>
  <si>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</si>
  <si>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</si>
  <si>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</si>
  <si>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</si>
  <si>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</si>
  <si>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</si>
  <si>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</si>
  <si>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</si>
  <si>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</si>
  <si>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</si>
  <si>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</si>
  <si>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</si>
  <si>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</si>
  <si>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</si>
  <si>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</si>
  <si>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</si>
  <si>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</si>
  <si>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</si>
  <si>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</si>
  <si>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</si>
  <si>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</si>
  <si>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</si>
  <si>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</si>
  <si>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</si>
  <si>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</si>
  <si>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</si>
  <si>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</si>
  <si>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</si>
  <si>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</si>
  <si>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</si>
  <si>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</si>
  <si>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</si>
  <si>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</si>
  <si>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</si>
  <si>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</si>
  <si>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</si>
  <si>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</si>
  <si>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</si>
  <si>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</si>
  <si>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</si>
  <si>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</si>
  <si>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</si>
  <si>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</si>
  <si>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</si>
  <si>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</si>
  <si>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</si>
  <si>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</si>
  <si>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</si>
  <si>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</si>
  <si>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</si>
  <si>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</si>
  <si>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</si>
  <si>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</si>
  <si>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</si>
  <si>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</si>
  <si>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</si>
  <si>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</si>
  <si>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</si>
  <si>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</si>
  <si>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</si>
  <si>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</si>
  <si>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</si>
  <si>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</si>
  <si>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</si>
  <si>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</si>
  <si>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</si>
  <si>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</si>
  <si>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</si>
  <si>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</si>
  <si>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</si>
  <si>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</si>
  <si>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</si>
  <si>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</si>
  <si>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</si>
  <si>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</si>
  <si>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</si>
  <si>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</si>
  <si>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</si>
  <si>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</si>
  <si>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</si>
  <si>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</si>
  <si>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</si>
  <si>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</si>
  <si>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</si>
  <si>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</si>
  <si>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</si>
  <si>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</si>
  <si>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</si>
  <si>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</si>
  <si>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</si>
  <si>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</si>
  <si>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</si>
  <si>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</si>
  <si>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</si>
  <si>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</si>
  <si>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</si>
  <si>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</si>
  <si>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</si>
  <si>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</si>
  <si>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</si>
  <si>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</si>
  <si>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</si>
  <si>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</si>
  <si>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</si>
  <si>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</si>
  <si>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</si>
  <si>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</si>
  <si>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</si>
  <si>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</si>
  <si>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</si>
  <si>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</si>
  <si>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</si>
  <si>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</si>
  <si>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</si>
  <si>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</si>
  <si>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</si>
  <si>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</si>
  <si>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</si>
  <si>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</si>
  <si>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</si>
  <si>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</si>
  <si>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</si>
  <si>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</si>
  <si>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</si>
  <si>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</si>
  <si>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</si>
  <si>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</si>
  <si>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</si>
  <si>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</si>
  <si>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</si>
  <si>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</si>
  <si>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</si>
  <si>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</si>
  <si>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</si>
  <si>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</si>
  <si>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</si>
  <si>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</si>
  <si>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</si>
  <si>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</si>
  <si>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</si>
  <si>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</si>
  <si>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</si>
  <si>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</si>
  <si>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</si>
  <si>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</si>
  <si>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</si>
  <si>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</si>
  <si>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</si>
  <si>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</si>
  <si>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</si>
  <si>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</si>
  <si>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</si>
  <si>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</si>
  <si>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</si>
  <si>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</si>
  <si>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</si>
  <si>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</si>
  <si>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</si>
  <si>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</si>
  <si>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</si>
  <si>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</si>
  <si>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</si>
  <si>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</si>
  <si>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</si>
  <si>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</si>
  <si>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</si>
  <si>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</si>
  <si>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</si>
  <si>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</si>
  <si>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</si>
  <si>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</si>
  <si>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</si>
  <si>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</si>
  <si>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</si>
  <si>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</si>
  <si>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</si>
  <si>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</si>
  <si>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</si>
  <si>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</si>
  <si>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</si>
  <si>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</si>
  <si>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</si>
  <si>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</si>
  <si>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</si>
  <si>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</si>
  <si>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</si>
  <si>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</si>
  <si>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</si>
  <si>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</si>
  <si>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</si>
  <si>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</si>
  <si>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</si>
  <si>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</si>
  <si>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</si>
  <si>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</si>
  <si>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</si>
  <si>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</si>
  <si>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</si>
  <si>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</si>
  <si>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</si>
  <si>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</si>
  <si>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</si>
  <si>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</si>
  <si>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</si>
  <si>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</si>
  <si>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</si>
  <si>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</si>
  <si>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</si>
  <si>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</si>
  <si>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</si>
  <si>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</si>
  <si>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</si>
  <si>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</si>
  <si>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</si>
  <si>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</si>
  <si>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</si>
  <si>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</si>
  <si>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</si>
  <si>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</si>
  <si>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</si>
  <si>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</si>
  <si>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</si>
  <si>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</si>
  <si>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</si>
  <si>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</si>
  <si>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</si>
  <si>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</si>
  <si>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</si>
  <si>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</si>
  <si>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</si>
  <si>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</si>
  <si>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</si>
  <si>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</si>
  <si>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</si>
  <si>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</si>
  <si>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</si>
  <si>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</si>
  <si>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</si>
  <si>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</si>
  <si>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</si>
  <si>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</si>
  <si>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</si>
  <si>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</si>
  <si>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</si>
  <si>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</si>
  <si>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</si>
  <si>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</si>
  <si>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</si>
  <si>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</si>
  <si>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</si>
  <si>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</si>
  <si>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</si>
  <si>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</si>
  <si>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</si>
  <si>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</si>
  <si>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</si>
  <si>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</si>
  <si>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</si>
  <si>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</si>
  <si>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</si>
  <si>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</si>
  <si>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</si>
  <si>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</si>
  <si>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</si>
  <si>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</si>
  <si>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</si>
  <si>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</si>
  <si>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</si>
  <si>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</si>
  <si>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</si>
  <si>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</si>
  <si>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</si>
  <si>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</si>
  <si>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</si>
  <si>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</si>
  <si>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</si>
  <si>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</si>
  <si>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</si>
  <si>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</si>
  <si>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</si>
  <si>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</si>
  <si>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</si>
  <si>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</si>
  <si>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</si>
  <si>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</si>
  <si>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</si>
  <si>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</si>
  <si>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</si>
  <si>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</si>
  <si>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</si>
  <si>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</si>
  <si>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</si>
  <si>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</si>
  <si>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</si>
  <si>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</si>
  <si>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</si>
  <si>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</si>
  <si>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</si>
  <si>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</si>
  <si>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</si>
  <si>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</si>
  <si>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</si>
  <si>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</si>
  <si>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</si>
  <si>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</si>
  <si>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</si>
  <si>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</si>
  <si>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</si>
  <si>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</si>
  <si>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</si>
  <si>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</si>
  <si>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</si>
  <si>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</si>
  <si>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</si>
  <si>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</si>
  <si>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</si>
  <si>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</si>
  <si>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</si>
  <si>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</si>
  <si>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</si>
  <si>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</si>
  <si>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</si>
  <si>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</si>
  <si>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</si>
  <si>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</si>
  <si>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</si>
  <si>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</si>
  <si>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</si>
  <si>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</si>
  <si>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</si>
  <si>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</si>
  <si>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</si>
  <si>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</si>
  <si>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</si>
  <si>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</si>
  <si>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</si>
  <si>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</si>
  <si>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</si>
  <si>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</si>
  <si>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</si>
  <si>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</si>
  <si>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</si>
  <si>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</si>
  <si>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</si>
  <si>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</si>
  <si>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</si>
  <si>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</si>
  <si>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</si>
  <si>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</si>
  <si>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</si>
  <si>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</si>
  <si>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</si>
  <si>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</si>
  <si>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</si>
  <si>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</si>
  <si>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</si>
  <si>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</si>
  <si>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</si>
  <si>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</si>
  <si>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</si>
  <si>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</si>
  <si>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</si>
  <si>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</si>
  <si>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</si>
  <si>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</si>
  <si>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</si>
  <si>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</si>
  <si>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</si>
  <si>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</si>
  <si>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</si>
  <si>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</si>
  <si>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</si>
  <si>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</si>
  <si>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</si>
  <si>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</si>
  <si>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</si>
  <si>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</si>
  <si>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</si>
  <si>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</si>
  <si>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</si>
  <si>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</si>
  <si>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</si>
  <si>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</si>
  <si>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</si>
  <si>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</si>
  <si>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</si>
  <si>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</si>
  <si>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</si>
  <si>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</si>
  <si>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</si>
  <si>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</si>
  <si>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</si>
  <si>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</si>
  <si>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</si>
  <si>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</si>
  <si>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</si>
  <si>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</si>
  <si>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</si>
  <si>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</si>
  <si>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</si>
  <si>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</si>
  <si>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</si>
  <si>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</si>
  <si>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</si>
  <si>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</si>
  <si>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</si>
  <si>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</si>
  <si>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</si>
  <si>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</si>
  <si>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</si>
  <si>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</si>
  <si>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</si>
  <si>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</si>
  <si>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</si>
  <si>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</si>
  <si>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</si>
  <si>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</si>
  <si>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</si>
  <si>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</si>
  <si>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</si>
  <si>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</si>
  <si>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</si>
  <si>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</si>
  <si>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</si>
  <si>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</si>
  <si>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</si>
  <si>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</si>
  <si>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</si>
  <si>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</si>
  <si>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</si>
  <si>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</si>
  <si>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</si>
  <si>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</si>
  <si>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</si>
  <si>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</si>
  <si>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</si>
  <si>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</si>
  <si>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</si>
  <si>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</si>
  <si>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</si>
  <si>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</si>
  <si>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</si>
  <si>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</si>
  <si>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</si>
  <si>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</si>
  <si>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</si>
  <si>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</si>
  <si>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</si>
  <si>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</si>
  <si>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</si>
  <si>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</si>
  <si>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</si>
  <si>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</si>
  <si>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</si>
  <si>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</si>
  <si>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</si>
  <si>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</si>
  <si>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</si>
  <si>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</si>
  <si>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</si>
  <si>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</si>
  <si>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</si>
  <si>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</si>
  <si>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</si>
  <si>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</si>
  <si>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</si>
  <si>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</si>
  <si>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</si>
  <si>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</si>
  <si>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</si>
  <si>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</si>
  <si>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</si>
  <si>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</si>
  <si>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</si>
  <si>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</si>
  <si>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</si>
  <si>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</si>
  <si>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</si>
  <si>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</si>
  <si>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</si>
  <si>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</si>
  <si>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</si>
  <si>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</si>
  <si>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</si>
  <si>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</si>
  <si>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</si>
  <si>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</si>
  <si>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</si>
  <si>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</si>
  <si>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</si>
  <si>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</si>
  <si>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</si>
  <si>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</si>
  <si>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</si>
  <si>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</si>
  <si>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</si>
  <si>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</si>
  <si>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</si>
  <si>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</si>
  <si>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</si>
  <si>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</si>
  <si>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</si>
  <si>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</si>
  <si>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</si>
  <si>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</si>
  <si>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</si>
  <si>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</si>
  <si>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</si>
  <si>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</si>
  <si>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</si>
  <si>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</si>
  <si>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</si>
  <si>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</si>
  <si>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</si>
  <si>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</si>
  <si>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</si>
  <si>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</si>
  <si>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</si>
  <si>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</si>
  <si>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</si>
  <si>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</si>
  <si>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</si>
  <si>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</si>
  <si>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</si>
  <si>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</si>
  <si>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</si>
  <si>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</si>
  <si>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</si>
  <si>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</si>
  <si>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</si>
  <si>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</si>
  <si>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</si>
  <si>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</si>
  <si>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</si>
  <si>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</si>
  <si>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</si>
  <si>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</si>
  <si>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</si>
  <si>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</si>
  <si>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</si>
  <si>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</si>
  <si>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</si>
  <si>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</si>
  <si>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</si>
  <si>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</si>
  <si>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</si>
  <si>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</si>
  <si>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</si>
  <si>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</si>
  <si>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</si>
  <si>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</si>
  <si>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</si>
  <si>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</si>
  <si>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</si>
  <si>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</si>
  <si>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</si>
  <si>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</si>
  <si>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</si>
  <si>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</si>
  <si>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</si>
  <si>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</si>
  <si>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</si>
  <si>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</si>
  <si>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</si>
  <si>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</si>
  <si>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</si>
  <si>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</si>
  <si>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</si>
  <si>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</si>
  <si>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</si>
  <si>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</si>
  <si>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</si>
  <si>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</si>
  <si>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</si>
  <si>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</si>
  <si>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</si>
  <si>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</si>
  <si>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</si>
  <si>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</si>
  <si>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</si>
  <si>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</si>
  <si>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</si>
  <si>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</si>
  <si>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</si>
  <si>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</si>
  <si>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</si>
  <si>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</si>
  <si>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</si>
  <si>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</si>
  <si>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</si>
  <si>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</si>
  <si>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</si>
  <si>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</si>
  <si>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</si>
  <si>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</si>
  <si>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</si>
  <si>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</si>
  <si>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</si>
  <si>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</si>
  <si>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</si>
  <si>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</si>
  <si>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</si>
  <si>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</si>
  <si>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</si>
  <si>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</si>
  <si>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</si>
  <si>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</si>
  <si>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</si>
  <si>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</si>
  <si>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</si>
  <si>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</si>
  <si>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</si>
  <si>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</si>
  <si>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</si>
  <si>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</si>
  <si>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</si>
  <si>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</si>
  <si>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</si>
  <si>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</si>
  <si>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</si>
  <si>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</si>
  <si>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</si>
  <si>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</si>
  <si>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</si>
  <si>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</si>
  <si>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</si>
  <si>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</si>
  <si>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</si>
  <si>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</si>
  <si>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</si>
  <si>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</si>
  <si>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</si>
  <si>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</si>
  <si>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</si>
  <si>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</si>
  <si>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</si>
  <si>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</si>
  <si>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</si>
  <si>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</si>
  <si>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</si>
  <si>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</si>
  <si>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</si>
  <si>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</si>
  <si>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</si>
  <si>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</si>
  <si>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</si>
  <si>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</si>
  <si>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</si>
  <si>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</si>
  <si>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</si>
  <si>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</si>
  <si>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</si>
  <si>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</si>
  <si>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</si>
  <si>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</si>
  <si>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</si>
  <si>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</si>
  <si>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</si>
  <si>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</si>
  <si>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</si>
  <si>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</si>
  <si>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</si>
  <si>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</si>
  <si>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</si>
  <si>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</si>
  <si>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</si>
  <si>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</si>
  <si>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</si>
  <si>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</si>
  <si>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</si>
  <si>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</si>
  <si>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</si>
  <si>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</si>
  <si>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</si>
  <si>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</si>
  <si>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</si>
  <si>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</si>
  <si>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</si>
  <si>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</si>
  <si>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</si>
  <si>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</si>
  <si>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</si>
  <si>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</si>
  <si>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</si>
  <si>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</si>
  <si>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</si>
  <si>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</si>
  <si>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</si>
  <si>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</si>
  <si>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</si>
  <si>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</si>
  <si>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</si>
  <si>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</si>
  <si>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</si>
  <si>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</si>
  <si>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</si>
  <si>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</si>
  <si>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</si>
  <si>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</si>
  <si>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</si>
  <si>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</si>
  <si>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</si>
  <si>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</si>
  <si>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</si>
  <si>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</si>
  <si>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</si>
  <si>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</si>
  <si>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</si>
  <si>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</si>
  <si>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</si>
  <si>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</si>
  <si>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</si>
  <si>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</si>
  <si>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</si>
  <si>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</si>
  <si>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</si>
  <si>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</si>
  <si>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</si>
  <si>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</si>
  <si>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</si>
  <si>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</si>
  <si>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</si>
  <si>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</si>
  <si>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</si>
  <si>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</si>
  <si>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</si>
  <si>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</si>
  <si>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</si>
  <si>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</si>
  <si>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</si>
  <si>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</si>
  <si>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</si>
  <si>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</si>
  <si>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</si>
  <si>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</si>
  <si>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</si>
  <si>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</si>
  <si>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</si>
  <si>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</si>
  <si>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</si>
  <si>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</si>
  <si>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</si>
  <si>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</si>
  <si>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</si>
  <si>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</si>
  <si>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</si>
  <si>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</si>
  <si>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</si>
  <si>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</si>
  <si>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</si>
  <si>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</si>
  <si>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</si>
  <si>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</si>
  <si>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</si>
  <si>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</si>
  <si>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</si>
  <si>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</si>
  <si>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</si>
  <si>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</si>
  <si>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</si>
  <si>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</si>
  <si>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</si>
  <si>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</si>
  <si>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</si>
  <si>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</si>
  <si>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</si>
  <si>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</si>
  <si>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</si>
  <si>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</si>
  <si>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</si>
  <si>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</si>
  <si>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</si>
  <si>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</si>
  <si>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</si>
  <si>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</si>
  <si>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</si>
  <si>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</si>
  <si>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</si>
  <si>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</si>
  <si>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</si>
  <si>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</si>
  <si>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</si>
  <si>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</si>
  <si>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</si>
  <si>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</si>
  <si>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</si>
  <si>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</si>
  <si>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</si>
  <si>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</si>
  <si>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</si>
  <si>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</si>
  <si>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</si>
  <si>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</si>
  <si>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</si>
  <si>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</si>
  <si>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</si>
  <si>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</si>
  <si>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</si>
  <si>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</si>
  <si>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</si>
  <si>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</si>
  <si>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</si>
  <si>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</si>
  <si>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</si>
  <si>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</si>
  <si>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</si>
  <si>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</si>
  <si>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</si>
  <si>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</si>
  <si>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</si>
  <si>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</si>
  <si>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</si>
  <si>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</si>
  <si>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</si>
  <si>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</si>
  <si>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</si>
  <si>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</si>
  <si>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</si>
  <si>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</si>
  <si>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</si>
  <si>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</si>
  <si>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</si>
  <si>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</si>
  <si>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</si>
  <si>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</si>
  <si>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</si>
  <si>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</si>
  <si>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</si>
  <si>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</si>
  <si>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</si>
  <si>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</si>
  <si>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</si>
  <si>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</si>
  <si>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</si>
  <si>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</si>
  <si>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</si>
  <si>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</si>
  <si>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</si>
  <si>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</si>
  <si>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</si>
  <si>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</si>
  <si>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</si>
  <si>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</si>
  <si>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</si>
  <si>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</si>
  <si>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</si>
  <si>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</si>
  <si>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</si>
  <si>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</si>
  <si>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</si>
  <si>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</si>
  <si>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</si>
  <si>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</si>
  <si>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</si>
  <si>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</si>
  <si>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</si>
  <si>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</si>
  <si>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</si>
  <si>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</si>
  <si>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</si>
  <si>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</si>
  <si>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</si>
  <si>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</si>
  <si>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</si>
  <si>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</si>
  <si>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</si>
  <si>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</si>
  <si>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</si>
  <si>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</si>
  <si>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</si>
  <si>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</si>
  <si>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</si>
  <si>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</si>
  <si>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</si>
  <si>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</si>
  <si>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</si>
  <si>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</si>
  <si>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</si>
  <si>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</si>
  <si>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</si>
  <si>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</si>
  <si>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</si>
  <si>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</si>
  <si>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</si>
  <si>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</si>
  <si>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</si>
  <si>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</si>
  <si>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</si>
  <si>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</si>
  <si>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</si>
  <si>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</si>
  <si>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</si>
  <si>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</si>
  <si>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</si>
  <si>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</si>
  <si>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</si>
  <si>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</si>
  <si>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</si>
  <si>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</si>
  <si>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</si>
  <si>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</si>
  <si>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</si>
  <si>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</si>
  <si>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</si>
  <si>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</si>
  <si>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</si>
  <si>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</si>
  <si>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</si>
  <si>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</si>
  <si>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</si>
  <si>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</si>
  <si>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</si>
  <si>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</si>
  <si>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</si>
  <si>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</si>
  <si>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</si>
  <si>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</si>
  <si>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</si>
  <si>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</si>
  <si>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</si>
  <si>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</si>
  <si>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</si>
  <si>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</si>
  <si>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</si>
  <si>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</si>
  <si>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</si>
  <si>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</si>
  <si>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</si>
  <si>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</si>
  <si>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</si>
  <si>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</si>
  <si>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</si>
  <si>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</si>
  <si>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</si>
  <si>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</si>
  <si>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</si>
  <si>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</si>
  <si>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</si>
  <si>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</si>
  <si>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</si>
  <si>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</si>
  <si>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</si>
  <si>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</si>
  <si>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</si>
  <si>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</si>
  <si>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</si>
  <si>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</si>
  <si>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</si>
  <si>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</si>
  <si>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</si>
  <si>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</si>
  <si>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</si>
  <si>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</si>
  <si>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</si>
  <si>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</si>
  <si>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</si>
  <si>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</si>
  <si>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</si>
  <si>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</si>
  <si>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</si>
  <si>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</si>
  <si>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</si>
  <si>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</si>
  <si>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</si>
  <si>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</si>
  <si>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</si>
  <si>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</si>
  <si>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</si>
  <si>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</si>
  <si>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</si>
  <si>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</si>
  <si>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</si>
  <si>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</si>
  <si>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</si>
  <si>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</si>
  <si>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</si>
  <si>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</si>
  <si>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</si>
  <si>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</si>
  <si>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</si>
  <si>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</si>
  <si>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</si>
  <si>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</si>
  <si>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</si>
  <si>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</si>
  <si>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</si>
  <si>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</si>
  <si>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</si>
  <si>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</si>
  <si>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</si>
  <si>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</si>
  <si>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</si>
  <si>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</si>
  <si>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</si>
  <si>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</si>
  <si>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</si>
  <si>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</si>
  <si>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</si>
  <si>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</si>
  <si>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</si>
  <si>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</si>
  <si>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</si>
  <si>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</si>
  <si>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</si>
  <si>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</si>
  <si>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</si>
  <si>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</si>
  <si>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</si>
  <si>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</si>
  <si>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</si>
  <si>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</si>
  <si>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</si>
  <si>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</si>
  <si>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</si>
  <si>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</si>
  <si>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</si>
  <si>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</si>
  <si>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</si>
  <si>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</si>
  <si>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</si>
  <si>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</si>
  <si>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</si>
  <si>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</si>
  <si>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</si>
  <si>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</si>
  <si>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</si>
  <si>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</si>
  <si>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</si>
  <si>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</si>
  <si>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</si>
  <si>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</si>
  <si>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</si>
  <si>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</si>
  <si>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</si>
  <si>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</si>
  <si>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</si>
  <si>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</si>
  <si>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</si>
  <si>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</si>
  <si>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</si>
  <si>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</si>
  <si>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</si>
  <si>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</si>
  <si>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</si>
  <si>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</si>
  <si>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</si>
  <si>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</si>
  <si>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</si>
  <si>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</si>
  <si>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</si>
  <si>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</si>
  <si>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</si>
  <si>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</si>
  <si>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</si>
  <si>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</si>
  <si>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</si>
  <si>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</si>
  <si>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</si>
  <si>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</si>
  <si>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</si>
  <si>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</si>
  <si>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</si>
  <si>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</si>
  <si>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</si>
  <si>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</si>
  <si>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</si>
  <si>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</si>
  <si>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</si>
  <si>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</si>
  <si>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</si>
  <si>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</si>
  <si>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</si>
  <si>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</si>
  <si>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</si>
  <si>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</si>
  <si>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</si>
  <si>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</si>
  <si>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</si>
  <si>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</si>
  <si>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</si>
  <si>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</si>
  <si>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</si>
  <si>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</si>
  <si>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</si>
  <si>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</si>
  <si>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</si>
  <si>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</si>
  <si>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</si>
  <si>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</si>
  <si>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</si>
  <si>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</si>
  <si>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</si>
  <si>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</si>
  <si>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</si>
  <si>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</si>
  <si>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</si>
  <si>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</si>
  <si>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</si>
  <si>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</si>
  <si>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</si>
  <si>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</si>
  <si>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</si>
  <si>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</si>
  <si>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</si>
  <si>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</si>
  <si>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</si>
  <si>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</si>
  <si>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</si>
  <si>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</si>
  <si>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</si>
  <si>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</si>
  <si>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</si>
  <si>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</si>
  <si>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</si>
  <si>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</si>
  <si>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</si>
  <si>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</si>
  <si>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</si>
  <si>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</si>
  <si>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</si>
  <si>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</si>
  <si>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</si>
  <si>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</si>
  <si>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</si>
  <si>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</si>
  <si>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</si>
  <si>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</si>
  <si>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</si>
  <si>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</si>
  <si>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</si>
  <si>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</si>
  <si>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</si>
  <si>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</si>
  <si>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</si>
  <si>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</si>
  <si>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</si>
  <si>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</si>
  <si>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</si>
  <si>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</si>
  <si>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</si>
  <si>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</si>
  <si>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</si>
  <si>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</si>
  <si>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</si>
  <si>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</si>
  <si>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</si>
  <si>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</si>
  <si>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</si>
  <si>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</si>
  <si>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</si>
  <si>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</si>
  <si>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</si>
  <si>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</si>
  <si>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</si>
  <si>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</si>
  <si>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</si>
  <si>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</si>
  <si>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</si>
  <si>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</si>
  <si>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</si>
  <si>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</si>
  <si>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</si>
  <si>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</si>
  <si>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</si>
  <si>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</si>
  <si>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</si>
  <si>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</si>
  <si>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</si>
  <si>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</si>
  <si>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</si>
  <si>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</si>
  <si>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</si>
  <si>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</si>
  <si>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</si>
  <si>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</si>
  <si>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</si>
  <si>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</si>
  <si>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</si>
  <si>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</si>
  <si>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</si>
  <si>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</si>
  <si>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</si>
  <si>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</si>
  <si>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</si>
  <si>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</si>
  <si>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</si>
  <si>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</si>
  <si>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</si>
  <si>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</si>
  <si>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</si>
  <si>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</si>
  <si>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</si>
  <si>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</si>
  <si>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</si>
  <si>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</si>
  <si>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</si>
  <si>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</si>
  <si>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</si>
  <si>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</si>
  <si>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</si>
  <si>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</si>
  <si>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</si>
  <si>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</si>
  <si>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</si>
  <si>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</si>
  <si>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</si>
  <si>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</si>
  <si>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</si>
  <si>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</si>
  <si>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</si>
  <si>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</si>
  <si>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</si>
  <si>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</si>
  <si>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</si>
  <si>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</si>
  <si>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</si>
  <si>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</si>
  <si>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</si>
  <si>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</si>
  <si>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</si>
  <si>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</si>
  <si>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</si>
  <si>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</si>
  <si>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</si>
  <si>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</si>
  <si>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</si>
  <si>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</si>
  <si>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</si>
  <si>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</si>
  <si>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</si>
  <si>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</si>
  <si>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</si>
  <si>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</si>
  <si>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</si>
  <si>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</si>
  <si>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</si>
  <si>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</si>
  <si>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</si>
  <si>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</si>
  <si>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</si>
  <si>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</si>
  <si>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</si>
  <si>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</si>
  <si>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</si>
  <si>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</si>
  <si>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</si>
  <si>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</si>
  <si>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</si>
  <si>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</si>
  <si>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</si>
  <si>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</si>
  <si>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</si>
  <si>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</si>
  <si>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</si>
  <si>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</si>
  <si>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</si>
  <si>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</si>
  <si>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</si>
  <si>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</si>
  <si>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</si>
  <si>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</si>
  <si>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</si>
  <si>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</si>
  <si>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</si>
  <si>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</si>
  <si>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</si>
  <si>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</si>
  <si>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</si>
  <si>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</si>
  <si>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</si>
  <si>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</si>
  <si>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</si>
  <si>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</si>
  <si>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</si>
  <si>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</si>
  <si>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</si>
  <si>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</si>
  <si>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</si>
  <si>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</si>
  <si>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</si>
  <si>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</si>
  <si>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</si>
  <si>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</si>
  <si>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</si>
  <si>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</si>
  <si>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</si>
  <si>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</si>
  <si>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</si>
  <si>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</si>
  <si>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</si>
  <si>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</si>
  <si>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</si>
  <si>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</si>
  <si>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</si>
  <si>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</si>
  <si>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</si>
  <si>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</si>
  <si>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</si>
  <si>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</si>
  <si>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</si>
  <si>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</si>
  <si>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</si>
  <si>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</si>
  <si>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</si>
  <si>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</si>
  <si>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</si>
  <si>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</si>
  <si>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</si>
  <si>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</si>
  <si>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</si>
  <si>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</si>
  <si>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</si>
  <si>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</si>
  <si>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</si>
  <si>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</si>
  <si>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</si>
  <si>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</si>
  <si>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</si>
  <si>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</si>
  <si>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</si>
  <si>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</si>
  <si>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</si>
  <si>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</si>
  <si>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</si>
  <si>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</si>
  <si>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</si>
  <si>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</si>
  <si>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</si>
  <si>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</si>
  <si>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</si>
  <si>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</si>
  <si>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</si>
  <si>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</si>
  <si>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</si>
  <si>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</si>
  <si>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</si>
  <si>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</si>
  <si>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</si>
  <si>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</si>
  <si>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</si>
  <si>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</si>
  <si>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</si>
  <si>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</si>
  <si>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</si>
  <si>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</si>
  <si>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</si>
  <si>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</si>
  <si>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</si>
  <si>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</si>
  <si>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</si>
  <si>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</si>
  <si>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</si>
  <si>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</si>
  <si>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</si>
  <si>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</si>
  <si>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</si>
  <si>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</si>
  <si>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</si>
  <si>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</si>
  <si>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</si>
  <si>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</si>
  <si>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</si>
  <si>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</si>
  <si>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</si>
  <si>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</si>
  <si>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</si>
  <si>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</si>
  <si>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</si>
  <si>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</si>
  <si>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</si>
  <si>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</si>
  <si>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</si>
  <si>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</si>
  <si>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</si>
  <si>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</si>
  <si>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</si>
  <si>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</si>
  <si>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</si>
  <si>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</si>
  <si>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</si>
  <si>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</si>
  <si>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</si>
  <si>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</si>
  <si>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</si>
  <si>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</si>
  <si>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</si>
  <si>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</si>
  <si>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</si>
  <si>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</si>
  <si>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</si>
  <si>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</si>
  <si>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</si>
  <si>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</si>
  <si>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</si>
  <si>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</si>
  <si>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</si>
  <si>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</si>
  <si>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</si>
  <si>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</si>
  <si>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</si>
  <si>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</si>
  <si>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</si>
  <si>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</si>
  <si>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</si>
  <si>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</si>
  <si>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</si>
  <si>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</si>
  <si>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</si>
  <si>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</si>
  <si>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</si>
  <si>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</si>
  <si>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</si>
  <si>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</si>
  <si>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</si>
  <si>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</si>
  <si>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</si>
  <si>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</si>
  <si>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</si>
  <si>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</si>
  <si>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</si>
  <si>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t>
  </si>
  <si>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</si>
  <si>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</si>
  <si>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</si>
  <si>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</si>
  <si>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</si>
  <si>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処遇改善加算Ⅰロ</t>
  </si>
  <si>
    <t>キャリアパス要件Ⅳ</t>
    <rPh sb="6" eb="8">
      <t>ヨウケン</t>
    </rPh>
    <phoneticPr fontId="13"/>
  </si>
  <si>
    <t>計画書（福祉・介護職員等処遇改善加算）
基本情報入力シート</t>
    <rPh sb="4" eb="6">
      <t>フクシ</t>
    </rPh>
    <rPh sb="7" eb="9">
      <t>カイゴ</t>
    </rPh>
    <rPh sb="9" eb="11">
      <t>ショクイン</t>
    </rPh>
    <rPh sb="11" eb="12">
      <t>トウ</t>
    </rPh>
    <rPh sb="12" eb="14">
      <t>ショグウ</t>
    </rPh>
    <rPh sb="14" eb="16">
      <t>カイゼン</t>
    </rPh>
    <rPh sb="16" eb="18">
      <t>カサン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</si>
  <si>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</si>
  <si>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</si>
  <si>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</si>
  <si>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</si>
  <si>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</si>
  <si>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</si>
  <si>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</si>
  <si>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</si>
  <si>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</si>
  <si>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</si>
  <si>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</si>
  <si>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</si>
  <si>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</si>
  <si>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</si>
  <si>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</si>
  <si>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</si>
  <si>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</si>
  <si>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</si>
  <si>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</si>
  <si>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</si>
  <si>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</si>
  <si>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</si>
  <si>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</si>
  <si>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</si>
  <si>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</si>
  <si>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</si>
  <si>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</si>
  <si>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</si>
  <si>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</si>
  <si>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</si>
  <si>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</si>
  <si>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</si>
  <si>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</si>
  <si>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</si>
  <si>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</si>
  <si>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</si>
  <si>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</si>
  <si>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</si>
  <si>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</si>
  <si>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</si>
  <si>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</si>
  <si>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</si>
  <si>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</si>
  <si>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</si>
  <si>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</si>
  <si>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</si>
  <si>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</si>
  <si>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</si>
  <si>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</si>
  <si>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</si>
  <si>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</si>
  <si>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</si>
  <si>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</si>
  <si>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</si>
  <si>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</si>
  <si>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</si>
  <si>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</si>
  <si>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</si>
  <si>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</si>
  <si>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</si>
  <si>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</si>
  <si>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</si>
  <si>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</si>
  <si>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</si>
  <si>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</si>
  <si>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</si>
  <si>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</si>
  <si>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</si>
  <si>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</si>
  <si>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</si>
  <si>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</si>
  <si>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</si>
  <si>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</si>
  <si>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</si>
  <si>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</si>
  <si>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</si>
  <si>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</si>
  <si>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</si>
  <si>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</si>
  <si>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</si>
  <si>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</si>
  <si>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</si>
  <si>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</si>
  <si>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</si>
  <si>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</si>
  <si>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</si>
  <si>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</si>
  <si>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</si>
  <si>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</si>
  <si>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</si>
  <si>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</si>
  <si>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</si>
  <si>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</si>
  <si>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</si>
  <si>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</si>
  <si>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</si>
  <si>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</si>
  <si>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</si>
  <si>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</si>
  <si>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</si>
  <si>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</si>
  <si>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</si>
  <si>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</si>
  <si>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</si>
  <si>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</si>
  <si>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</si>
  <si>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</si>
  <si>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</si>
  <si>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</si>
  <si>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</si>
  <si>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</si>
  <si>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</si>
  <si>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</si>
  <si>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</si>
  <si>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</si>
  <si>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</si>
  <si>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</si>
  <si>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</si>
  <si>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</si>
  <si>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</si>
  <si>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</si>
  <si>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</si>
  <si>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</si>
  <si>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</si>
  <si>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</si>
  <si>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</si>
  <si>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</si>
  <si>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</si>
  <si>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</si>
  <si>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</si>
  <si>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</si>
  <si>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</si>
  <si>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</si>
  <si>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</si>
  <si>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</si>
  <si>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</si>
  <si>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</si>
  <si>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</si>
  <si>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</si>
  <si>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</si>
  <si>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</si>
  <si>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</si>
  <si>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</si>
  <si>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</si>
  <si>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</si>
  <si>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</si>
  <si>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</si>
  <si>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</si>
  <si>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</si>
  <si>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</si>
  <si>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</si>
  <si>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</si>
  <si>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</si>
  <si>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</si>
  <si>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</si>
  <si>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</si>
  <si>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</si>
  <si>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</si>
  <si>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</si>
  <si>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</si>
  <si>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</si>
  <si>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</si>
  <si>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</si>
  <si>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</si>
  <si>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</si>
  <si>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</si>
  <si>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</si>
  <si>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</si>
  <si>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</si>
  <si>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</si>
  <si>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</si>
  <si>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</si>
  <si>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○○サービスジギョウショ</t>
    <phoneticPr fontId="13"/>
  </si>
  <si>
    <t>○○サービス事業所</t>
    <rPh sb="6" eb="9">
      <t>ジギョウショ</t>
    </rPh>
    <phoneticPr fontId="13"/>
  </si>
  <si>
    <t>１２３４</t>
    <phoneticPr fontId="13"/>
  </si>
  <si>
    <t>東京都千代田区霞が関1-2-2</t>
    <phoneticPr fontId="13"/>
  </si>
  <si>
    <t>1233445566778</t>
    <phoneticPr fontId="13"/>
  </si>
  <si>
    <t>コウロウ　ハナコ</t>
    <phoneticPr fontId="13"/>
  </si>
  <si>
    <t>厚労　花子</t>
    <rPh sb="0" eb="2">
      <t>コウロウ</t>
    </rPh>
    <rPh sb="3" eb="5">
      <t>ハナコ</t>
    </rPh>
    <phoneticPr fontId="13"/>
  </si>
  <si>
    <t>03-3571-XXXX</t>
  </si>
  <si>
    <t>aaa@aaa.aa.jp</t>
  </si>
  <si>
    <t>1234567899</t>
    <phoneticPr fontId="13"/>
  </si>
  <si>
    <t>1234567900</t>
  </si>
  <si>
    <t>1234567901</t>
  </si>
  <si>
    <t>1234567902</t>
  </si>
  <si>
    <t>1234567903</t>
  </si>
  <si>
    <t>1234567904</t>
  </si>
  <si>
    <t>障害福祉事業所名称０１</t>
    <phoneticPr fontId="13"/>
  </si>
  <si>
    <t>障害福祉事業所名称０２</t>
  </si>
  <si>
    <t>障害福祉事業所名称０３</t>
  </si>
  <si>
    <t>障害福祉事業所名称０４</t>
  </si>
  <si>
    <t>障害福祉事業所名称０５</t>
  </si>
  <si>
    <t>障害福祉事業所名称０６</t>
  </si>
  <si>
    <t>障害福祉事業所名称０７</t>
  </si>
  <si>
    <t>1234567905</t>
  </si>
  <si>
    <t>処遇改善加算Ⅱイ</t>
  </si>
  <si>
    <t>処遇改善加算Ⅰイ</t>
  </si>
  <si>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</si>
  <si>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</si>
  <si>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</si>
  <si>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</si>
  <si>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</si>
  <si>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</si>
  <si>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</si>
  <si>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</si>
  <si>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</si>
  <si>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</si>
  <si>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</si>
  <si>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</si>
  <si>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</si>
  <si>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</si>
  <si>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</si>
  <si>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</si>
  <si>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</si>
  <si>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</si>
  <si>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</si>
  <si>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</si>
  <si>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</si>
  <si>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</si>
  <si>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</si>
  <si>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自立訓練（生活訓練）</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</si>
  <si>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</si>
  <si>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</si>
  <si>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</si>
  <si>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</si>
  <si>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</si>
  <si>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</si>
  <si>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</si>
  <si>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</si>
  <si>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</si>
  <si>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</si>
  <si>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</si>
  <si>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</si>
  <si>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</si>
  <si>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</si>
  <si>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</si>
  <si>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</si>
  <si>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</si>
  <si>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</si>
  <si>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</si>
  <si>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</si>
  <si>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</si>
  <si>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</si>
  <si>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</si>
  <si>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</si>
  <si>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</si>
  <si>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</si>
  <si>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</si>
  <si>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</si>
  <si>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</si>
  <si>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</si>
  <si>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</si>
  <si>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</si>
  <si>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</si>
  <si>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</si>
  <si>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</si>
  <si>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</si>
  <si>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</si>
  <si>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</si>
  <si>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</si>
  <si>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</si>
  <si>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t>「生産性向上（業務改善及び働く環境改善）のための取組」のうち５以上の取組（うち⑱及び㉑は必須）を実施
かつ
処遇改善加算Ⅱロの加算額の２分の１以上を基本給等の改善に充てている</t>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</si>
  <si>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</si>
  <si>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</si>
  <si>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</si>
  <si>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</si>
  <si>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</si>
  <si>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</si>
  <si>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</si>
  <si>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</si>
  <si>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</si>
  <si>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</si>
  <si>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</si>
  <si>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</si>
  <si>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</si>
  <si>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</si>
  <si>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</si>
  <si>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</si>
  <si>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</si>
  <si>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</si>
  <si>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</si>
  <si>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1234567906</t>
  </si>
  <si>
    <t>障害福祉事業所名称０８</t>
  </si>
  <si>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</si>
  <si>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</si>
  <si>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</si>
  <si>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</si>
  <si>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</si>
  <si>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</si>
  <si>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</si>
  <si>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「生産性向上（業務改善及び働く環境改善）のための取組」のうち５以上の取組（うち⑱及び㉑は必須）を実施
かつ
処遇改善加算Ⅱロの加算額の２分の１以上を基本給等の改善に充てている</t>
  </si>
  <si>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</si>
  <si>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</si>
  <si>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</si>
  <si>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</si>
  <si>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</si>
  <si>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</si>
  <si>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</si>
  <si>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</si>
  <si>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</si>
  <si>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</si>
  <si>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</si>
  <si>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</si>
  <si>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</si>
  <si>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</si>
  <si>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</si>
  <si>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</si>
  <si>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</si>
  <si>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「生産性向上（業務改善及び働く環境改善）のための取組」のうち５以上の取組（うち⑱及び㉑は必須）を実施
かつ
処遇改善加算Ⅱロの加算額の２分の１以上を基本給等の改善に充てている</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</si>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</sst>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066">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97" fillId="0" borderId="0" xfId="0" applyFont="1" applyAlignment="1">
      <alignment horizontal="center" vertical="center"/>
    </xf>
    <xf numFmtId="0" fontId="100" fillId="0" borderId="0" xfId="0" applyFont="1">
      <alignment vertical="center"/>
    </xf>
    <xf numFmtId="176" fontId="39" fillId="0" borderId="69" xfId="0" applyNumberFormat="1" applyFont="1" applyBorder="1" applyAlignment="1" applyProtection="1">
      <alignment horizontal="center" vertical="center" wrapText="1" shrinkToFit="1"/>
      <protection locked="0"/>
    </xf>
    <xf numFmtId="0" fontId="0" fillId="24" borderId="10" xfId="0"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49" fontId="32" fillId="0" borderId="0" xfId="0" applyNumberFormat="1" applyFont="1">
      <alignment vertical="center"/>
    </xf>
    <xf numFmtId="177" fontId="32" fillId="0" borderId="0" xfId="28" applyNumberFormat="1" applyFont="1" applyBorder="1" applyAlignment="1">
      <alignment horizontal="right" vertical="center" wrapText="1"/>
    </xf>
    <xf numFmtId="177" fontId="120" fillId="0" borderId="0" xfId="0" applyNumberFormat="1" applyFont="1" applyAlignment="1">
      <alignment vertical="center" wrapText="1"/>
    </xf>
    <xf numFmtId="0" fontId="89" fillId="0" borderId="0" xfId="0" applyFont="1">
      <alignment vertical="center"/>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Alignment="1">
      <alignment vertical="center"/>
    </xf>
    <xf numFmtId="177" fontId="32" fillId="0" borderId="0" xfId="50" applyNumberFormat="1" applyFont="1" applyFill="1" applyBorder="1" applyAlignment="1">
      <alignment vertical="center" wrapText="1"/>
    </xf>
    <xf numFmtId="0" fontId="32" fillId="0" borderId="0" xfId="43" applyFont="1" applyAlignment="1">
      <alignment vertical="center" wrapText="1"/>
    </xf>
    <xf numFmtId="0" fontId="90" fillId="0" borderId="0" xfId="0" applyFont="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176" fontId="43" fillId="24" borderId="47"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Alignment="1">
      <alignment horizontal="left" vertical="center" wrapText="1"/>
    </xf>
    <xf numFmtId="183" fontId="56" fillId="24" borderId="0" xfId="0" applyNumberFormat="1" applyFont="1" applyFill="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103"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49" fontId="128" fillId="24" borderId="0" xfId="0" applyNumberFormat="1" applyFont="1" applyFill="1" applyAlignment="1">
      <alignment horizontal="left" vertical="top"/>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38" fontId="66" fillId="0" borderId="0" xfId="34" applyFont="1" applyAlignment="1">
      <alignment vertical="center" wrapText="1"/>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0" fontId="42" fillId="27" borderId="10" xfId="0" applyFont="1" applyFill="1" applyBorder="1" applyProtection="1">
      <alignment vertical="center"/>
      <protection locked="0"/>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27" borderId="10" xfId="0" applyFont="1" applyFill="1" applyBorder="1" applyAlignment="1" applyProtection="1">
      <alignment horizontal="center" vertical="center" wrapText="1"/>
      <protection locked="0"/>
    </xf>
    <xf numFmtId="0" fontId="42" fillId="0" borderId="13" xfId="0" applyFont="1" applyBorder="1" applyAlignment="1">
      <alignment horizontal="center" vertical="center" wrapText="1"/>
    </xf>
    <xf numFmtId="0" fontId="42" fillId="0" borderId="44" xfId="0" applyFont="1" applyBorder="1" applyAlignment="1">
      <alignment horizontal="center" vertical="center" wrapText="1"/>
    </xf>
    <xf numFmtId="0" fontId="34" fillId="0" borderId="0" xfId="0" applyFont="1" applyAlignment="1">
      <alignment horizontal="left" vertical="center" wrapText="1"/>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0" borderId="10" xfId="0" applyFont="1" applyBorder="1" applyAlignment="1">
      <alignment horizontal="center" vertical="center" wrapText="1"/>
    </xf>
    <xf numFmtId="0" fontId="42" fillId="27" borderId="42" xfId="0" applyFont="1" applyFill="1" applyBorder="1" applyAlignment="1" applyProtection="1">
      <alignment horizontal="center" vertical="center" wrapText="1"/>
      <protection locked="0"/>
    </xf>
    <xf numFmtId="0" fontId="42" fillId="27" borderId="24" xfId="0" applyFont="1" applyFill="1" applyBorder="1" applyAlignment="1" applyProtection="1">
      <alignment horizontal="center" vertical="center" wrapText="1"/>
      <protection locked="0"/>
    </xf>
    <xf numFmtId="0" fontId="44" fillId="0" borderId="0" xfId="0" applyFont="1" applyAlignment="1">
      <alignment horizontal="left" vertical="center" wrapText="1"/>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42" fillId="0" borderId="10" xfId="0" applyFont="1" applyBorder="1" applyAlignment="1">
      <alignment horizontal="left" vertical="center"/>
    </xf>
    <xf numFmtId="0" fontId="0" fillId="0" borderId="0" xfId="0" applyAlignment="1">
      <alignment horizontal="left" vertical="top" wrapText="1"/>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13" xfId="0" applyFont="1" applyBorder="1" applyAlignment="1">
      <alignment horizontal="center" vertical="center"/>
    </xf>
    <xf numFmtId="0" fontId="42" fillId="0" borderId="38" xfId="0" applyFont="1" applyBorder="1" applyAlignment="1">
      <alignment horizontal="center" vertical="center"/>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2" fillId="0" borderId="44" xfId="0" applyFont="1" applyBorder="1" applyAlignment="1">
      <alignment horizontal="center" vertical="center"/>
    </xf>
    <xf numFmtId="0" fontId="42" fillId="0" borderId="10" xfId="0" applyFont="1" applyBorder="1" applyAlignment="1">
      <alignment horizontal="left" vertical="center" wrapText="1"/>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27"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0" fontId="42" fillId="27" borderId="10" xfId="0" applyFont="1" applyFill="1" applyBorder="1" applyAlignment="1" applyProtection="1">
      <alignment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1" xfId="0" applyFont="1" applyFill="1" applyBorder="1" applyAlignment="1">
      <alignment horizontal="left" vertical="center" wrapText="1"/>
    </xf>
    <xf numFmtId="0" fontId="49" fillId="24" borderId="10" xfId="0" applyFont="1" applyFill="1" applyBorder="1" applyAlignment="1">
      <alignment horizontal="left" vertical="center" wrapText="1"/>
    </xf>
    <xf numFmtId="0" fontId="49" fillId="24" borderId="12"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49" fillId="24" borderId="12"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9" fillId="24" borderId="33" xfId="0" applyFont="1" applyFill="1" applyBorder="1" applyAlignment="1">
      <alignment horizontal="left" vertical="center" wrapText="1"/>
    </xf>
    <xf numFmtId="0" fontId="49" fillId="24" borderId="29"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0" fillId="0" borderId="38" xfId="0" applyFont="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0" fontId="40" fillId="24" borderId="0" xfId="0" applyFont="1" applyFill="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0" fillId="24" borderId="0" xfId="0" applyFill="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1" fillId="24" borderId="78" xfId="0" applyFont="1" applyFill="1" applyBorder="1" applyAlignment="1">
      <alignment horizontal="left"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4" borderId="0" xfId="0" applyFont="1" applyFill="1" applyAlignment="1">
      <alignment horizontal="left" vertical="top" wrapText="1"/>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Font="1" applyBorder="1" applyAlignment="1">
      <alignment horizontal="left" vertical="center" wrapText="1"/>
    </xf>
    <xf numFmtId="0" fontId="40" fillId="0" borderId="90" xfId="0" applyFont="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97" fillId="0" borderId="91" xfId="0" applyFont="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10" xfId="0" applyFont="1" applyBorder="1" applyAlignment="1">
      <alignment horizontal="center" vertical="center"/>
    </xf>
    <xf numFmtId="0" fontId="40" fillId="0" borderId="12" xfId="0" applyFont="1" applyBorder="1" applyAlignment="1">
      <alignment horizontal="left" vertical="center" wrapText="1"/>
    </xf>
    <xf numFmtId="0" fontId="97" fillId="0" borderId="10" xfId="0" applyFont="1" applyBorder="1" applyAlignment="1">
      <alignment horizontal="center" vertical="center" wrapText="1"/>
    </xf>
    <xf numFmtId="0" fontId="66" fillId="0" borderId="10" xfId="0" applyFont="1" applyBorder="1" applyAlignment="1">
      <alignment horizontal="center" vertical="center"/>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lignment vertical="center"/>
    </xf>
    <xf numFmtId="0" fontId="44" fillId="24" borderId="0" xfId="0" applyFont="1" applyFill="1" applyAlignment="1">
      <alignment horizontal="left" vertical="top" wrapText="1"/>
    </xf>
    <xf numFmtId="0" fontId="49" fillId="24" borderId="29" xfId="0" applyFont="1" applyFill="1" applyBorder="1" applyAlignment="1">
      <alignment horizontal="left" vertical="center"/>
    </xf>
    <xf numFmtId="38" fontId="46" fillId="0" borderId="14" xfId="34" applyFont="1" applyFill="1" applyBorder="1" applyAlignment="1" applyProtection="1">
      <alignment vertical="center" shrinkToFit="1"/>
    </xf>
    <xf numFmtId="0" fontId="41" fillId="25" borderId="54" xfId="0" applyFont="1" applyFill="1" applyBorder="1" applyAlignment="1">
      <alignment horizontal="center" vertical="center"/>
    </xf>
    <xf numFmtId="0" fontId="41" fillId="25" borderId="50" xfId="0" applyFont="1" applyFill="1" applyBorder="1" applyAlignment="1">
      <alignment horizontal="center" vertical="center"/>
    </xf>
    <xf numFmtId="0" fontId="40" fillId="26" borderId="12" xfId="0" applyFont="1" applyFill="1" applyBorder="1" applyAlignment="1">
      <alignment horizontal="left" vertical="center"/>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0" fontId="41" fillId="25" borderId="73"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9" fillId="24" borderId="37" xfId="0" applyFont="1" applyFill="1" applyBorder="1" applyAlignment="1">
      <alignment horizontal="left" vertical="center" wrapText="1"/>
    </xf>
    <xf numFmtId="38" fontId="49" fillId="24" borderId="26" xfId="0" applyNumberFormat="1"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100" fillId="0" borderId="10" xfId="0" applyFont="1" applyBorder="1" applyAlignment="1">
      <alignment horizontal="center" vertical="center"/>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0" fillId="24" borderId="90" xfId="0" applyFill="1" applyBorder="1" applyAlignment="1">
      <alignment horizontal="left" vertical="top" wrapText="1"/>
    </xf>
    <xf numFmtId="0" fontId="0" fillId="24" borderId="0" xfId="0" applyFill="1" applyAlignment="1">
      <alignment horizontal="left" vertical="top" wrapText="1"/>
    </xf>
    <xf numFmtId="0" fontId="111" fillId="29" borderId="0" xfId="0" applyFont="1" applyFill="1" applyAlignment="1">
      <alignment horizontal="center" vertical="center"/>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66" fillId="29" borderId="0" xfId="0" applyFont="1" applyFill="1" applyAlignment="1">
      <alignment horizontal="center" vertical="center"/>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ill="1" applyBorder="1" applyAlignment="1">
      <alignment horizontal="center" vertical="center" wrapText="1"/>
    </xf>
    <xf numFmtId="49" fontId="0" fillId="24" borderId="11" xfId="0" applyNumberFormat="1" applyFill="1" applyBorder="1" applyAlignment="1">
      <alignment horizontal="center" vertical="center" wrapText="1"/>
    </xf>
    <xf numFmtId="0" fontId="0" fillId="24" borderId="12" xfId="0" applyFill="1" applyBorder="1" applyAlignment="1">
      <alignment horizontal="center" vertical="center" wrapText="1"/>
    </xf>
    <xf numFmtId="0" fontId="0" fillId="24" borderId="11" xfId="0" applyFill="1" applyBorder="1" applyAlignment="1">
      <alignment horizontal="center" vertical="center" wrapText="1"/>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fmlaLink="$BA$116" noThreeD="1"/>
</file>

<file path=xl/ctrlProps/ctrlProp2.xml><?xml version="1.0" encoding="utf-8"?>
<formControlPr xmlns="http://schemas.microsoft.com/office/spreadsheetml/2009/9/main" objectType="CheckBox" checked="Checked" fmlaLink="$BA$117" lockText="1" noThreeD="1"/>
</file>

<file path=xl/ctrlProps/ctrlProp3.xml><?xml version="1.0" encoding="utf-8"?>
<formControlPr xmlns="http://schemas.microsoft.com/office/spreadsheetml/2009/9/main" objectType="CheckBox" checked="Checked" fmlaLink="$BA$118" lockText="1" noThreeD="1"/>
</file>

<file path=xl/ctrlProps/ctrlProp4.xml><?xml version="1.0" encoding="utf-8"?>
<formControlPr xmlns="http://schemas.microsoft.com/office/spreadsheetml/2009/9/main" objectType="CheckBox" checked="Checked" fmlaLink="$BA$119" lockText="1" noThreeD="1"/>
</file>

<file path=xl/ctrlProps/ctrlProp5.xml><?xml version="1.0" encoding="utf-8"?>
<formControlPr xmlns="http://schemas.microsoft.com/office/spreadsheetml/2009/9/main" objectType="CheckBox" checked="Checked" fmlaLink="$BA$120" lockText="1" noThreeD="1"/>
</file>

<file path=xl/ctrlProps/ctrlProp6.xml><?xml version="1.0" encoding="utf-8"?>
<formControlPr xmlns="http://schemas.microsoft.com/office/spreadsheetml/2009/9/main" objectType="CheckBox" checked="Checked" fmlaLink="$BA$122" lockText="1" noThreeD="1"/>
</file>

<file path=xl/ctrlProps/ctrlProp7.xml><?xml version="1.0" encoding="utf-8"?>
<formControlPr xmlns="http://schemas.microsoft.com/office/spreadsheetml/2009/9/main" objectType="CheckBox" checked="Checked"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1033895" y="27354068"/>
              <a:ext cx="158981"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1033895" y="12105409"/>
              <a:ext cx="158981" cy="2944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1033895" y="6563591"/>
              <a:ext cx="158981" cy="41996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1033895" y="26246992"/>
              <a:ext cx="158981" cy="11070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1033895" y="12027477"/>
              <a:ext cx="158981"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1033895" y="27354068"/>
              <a:ext cx="158981" cy="52672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115</xdr:row>
          <xdr:rowOff>133350</xdr:rowOff>
        </xdr:from>
        <xdr:to>
          <xdr:col>1</xdr:col>
          <xdr:colOff>190500</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116</xdr:row>
          <xdr:rowOff>19050</xdr:rowOff>
        </xdr:from>
        <xdr:to>
          <xdr:col>2</xdr:col>
          <xdr:colOff>9525</xdr:colOff>
          <xdr:row>117</xdr:row>
          <xdr:rowOff>19050</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117</xdr:row>
          <xdr:rowOff>19050</xdr:rowOff>
        </xdr:from>
        <xdr:to>
          <xdr:col>2</xdr:col>
          <xdr:colOff>9525</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118</xdr:row>
          <xdr:rowOff>19050</xdr:rowOff>
        </xdr:from>
        <xdr:to>
          <xdr:col>2</xdr:col>
          <xdr:colOff>9525</xdr:colOff>
          <xdr:row>119</xdr:row>
          <xdr:rowOff>19050</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119</xdr:row>
          <xdr:rowOff>19050</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121</xdr:row>
          <xdr:rowOff>19050</xdr:rowOff>
        </xdr:from>
        <xdr:to>
          <xdr:col>2</xdr:col>
          <xdr:colOff>0</xdr:colOff>
          <xdr:row>122</xdr:row>
          <xdr:rowOff>19050</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8622662" y="2658886"/>
          <a:ext cx="1382284" cy="216000"/>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2823222" y="2670815"/>
          <a:ext cx="2049956" cy="221370"/>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120</xdr:row>
          <xdr:rowOff>19050</xdr:rowOff>
        </xdr:from>
        <xdr:to>
          <xdr:col>2</xdr:col>
          <xdr:colOff>9525</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1033895" y="20873778"/>
              <a:ext cx="15898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1033895" y="25977273"/>
              <a:ext cx="15898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1033895" y="20869968"/>
              <a:ext cx="16279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1033895" y="25977273"/>
              <a:ext cx="16279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1033895" y="20869968"/>
              <a:ext cx="162791" cy="53757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1033895" y="26167773"/>
              <a:ext cx="16279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1033895" y="20873778"/>
              <a:ext cx="158981" cy="537192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1033895" y="26167773"/>
              <a:ext cx="15898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1033895" y="22756091"/>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1033895" y="22756091"/>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1033895" y="25786773"/>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1033895" y="25786773"/>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818168" y="24773659"/>
              <a:ext cx="158981"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818168" y="24773659"/>
              <a:ext cx="162791" cy="355023"/>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6465455" y="95805"/>
          <a:ext cx="14001750" cy="907727"/>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6469265" y="91995"/>
          <a:ext cx="15605125" cy="907727"/>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593591" y="217714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593591" y="535781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593591" y="5970134"/>
              <a:ext cx="3212647"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aa@aaa.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omments" Target="../comments2.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5"/>
  <sheetViews>
    <sheetView showGridLines="0" tabSelected="1" view="pageBreakPreview" zoomScale="104" zoomScaleNormal="67" zoomScaleSheetLayoutView="80" workbookViewId="0">
      <selection sqref="A1:AG1"/>
    </sheetView>
  </sheetViews>
  <sheetFormatPr defaultColWidth="9" defaultRowHeight="20.100000000000001" customHeight="1"/>
  <cols>
    <col min="1" max="1" width="6.375" style="24" customWidth="1"/>
    <col min="2" max="11" width="0.875" style="24" customWidth="1"/>
    <col min="12" max="17" width="1.375" style="24" customWidth="1"/>
    <col min="18" max="18" width="2.625" style="24" customWidth="1"/>
    <col min="19" max="19" width="1.375" style="24" customWidth="1"/>
    <col min="20" max="20" width="3.375" style="24" customWidth="1"/>
    <col min="21" max="21" width="1.75" style="24" customWidth="1"/>
    <col min="22" max="22" width="7.375" style="24" customWidth="1"/>
    <col min="23" max="23" width="14.375" style="24" customWidth="1"/>
    <col min="24" max="24" width="10.375" style="24" customWidth="1"/>
    <col min="25" max="25" width="4.875" style="24" customWidth="1"/>
    <col min="26" max="26" width="10.25" style="24" customWidth="1"/>
    <col min="27" max="27" width="10.625" style="24" customWidth="1"/>
    <col min="28" max="28" width="10.875" style="57" customWidth="1"/>
    <col min="29" max="29" width="2.75" style="57" customWidth="1"/>
    <col min="30" max="30" width="12.375" style="57" customWidth="1"/>
    <col min="31" max="31" width="10.875" style="24" customWidth="1"/>
    <col min="32" max="32" width="9.375" style="24" customWidth="1"/>
    <col min="33" max="33" width="9.625" customWidth="1"/>
    <col min="34" max="34" width="6.375" customWidth="1"/>
    <col min="35" max="35" width="18.875" customWidth="1"/>
    <col min="36" max="36" width="16.875" customWidth="1"/>
    <col min="37" max="37" width="8.875" customWidth="1"/>
    <col min="38" max="38" width="17.625" customWidth="1"/>
    <col min="39" max="39" width="14" customWidth="1"/>
    <col min="40" max="43" width="9" customWidth="1"/>
  </cols>
  <sheetData>
    <row r="1" spans="1:41" s="41" customFormat="1" ht="43.9" customHeight="1">
      <c r="A1" s="637" t="s">
        <v>2217</v>
      </c>
      <c r="B1" s="637"/>
      <c r="C1" s="637"/>
      <c r="D1" s="637"/>
      <c r="E1" s="637"/>
      <c r="F1" s="637"/>
      <c r="G1" s="637"/>
      <c r="H1" s="637"/>
      <c r="I1" s="637"/>
      <c r="J1" s="637"/>
      <c r="K1" s="637"/>
      <c r="L1" s="637"/>
      <c r="M1" s="637"/>
      <c r="N1" s="637"/>
      <c r="O1" s="637"/>
      <c r="P1" s="637"/>
      <c r="Q1" s="637"/>
      <c r="R1" s="637"/>
      <c r="S1" s="637"/>
      <c r="T1" s="637"/>
      <c r="U1" s="637"/>
      <c r="V1" s="637"/>
      <c r="W1" s="637"/>
      <c r="X1" s="637"/>
      <c r="Y1" s="637"/>
      <c r="Z1" s="637"/>
      <c r="AA1" s="637"/>
      <c r="AB1" s="637"/>
      <c r="AC1" s="637"/>
      <c r="AD1" s="637"/>
      <c r="AE1" s="637"/>
      <c r="AF1" s="637"/>
      <c r="AG1" s="637"/>
      <c r="AH1" s="42"/>
      <c r="AO1" s="43" t="s">
        <v>0</v>
      </c>
    </row>
    <row r="2" spans="1:41" s="41" customFormat="1" ht="28.9" customHeight="1">
      <c r="A2" s="623" t="s">
        <v>1</v>
      </c>
      <c r="B2" s="623"/>
      <c r="C2" s="623"/>
      <c r="D2" s="623"/>
      <c r="E2" s="623"/>
      <c r="F2" s="623"/>
      <c r="G2" s="623"/>
      <c r="H2" s="623"/>
      <c r="I2" s="623"/>
      <c r="J2" s="623"/>
      <c r="K2" s="623"/>
      <c r="L2" s="623"/>
      <c r="M2" s="623"/>
      <c r="N2" s="623"/>
      <c r="O2" s="623"/>
      <c r="P2" s="623"/>
      <c r="Q2" s="623"/>
      <c r="R2" s="623"/>
      <c r="S2" s="623"/>
      <c r="T2" s="623"/>
      <c r="U2" s="623"/>
      <c r="V2" s="623"/>
      <c r="W2" s="623"/>
      <c r="X2" s="623"/>
      <c r="Y2" s="623"/>
      <c r="Z2" s="623"/>
      <c r="AA2" s="623"/>
      <c r="AB2" s="623"/>
      <c r="AC2" s="623"/>
      <c r="AD2" s="623"/>
      <c r="AE2" s="623"/>
      <c r="AF2" s="623"/>
      <c r="AG2" s="623"/>
      <c r="AH2" s="44"/>
    </row>
    <row r="3" spans="1:41" s="46" customFormat="1" ht="19.149999999999999" customHeight="1">
      <c r="A3" s="631" t="s">
        <v>2218</v>
      </c>
      <c r="B3" s="631"/>
      <c r="C3" s="631"/>
      <c r="D3" s="631"/>
      <c r="E3" s="631"/>
      <c r="F3" s="631"/>
      <c r="G3" s="631"/>
      <c r="H3" s="631"/>
      <c r="I3" s="631"/>
      <c r="J3" s="631"/>
      <c r="K3" s="631"/>
      <c r="L3" s="631"/>
      <c r="M3" s="631"/>
      <c r="N3" s="631"/>
      <c r="O3" s="631"/>
      <c r="P3" s="631"/>
      <c r="Q3" s="631"/>
      <c r="R3" s="631"/>
      <c r="S3" s="631"/>
      <c r="T3" s="631"/>
      <c r="U3" s="631"/>
      <c r="V3" s="631"/>
      <c r="W3" s="631"/>
      <c r="X3" s="631"/>
      <c r="Y3" s="631"/>
      <c r="Z3" s="631"/>
      <c r="AA3" s="631"/>
      <c r="AB3" s="631"/>
      <c r="AC3" s="631"/>
      <c r="AD3" s="631"/>
      <c r="AE3" s="631"/>
      <c r="AF3" s="631"/>
      <c r="AG3" s="631"/>
      <c r="AH3" s="45"/>
    </row>
    <row r="4" spans="1:41" s="41" customFormat="1" ht="40.9" customHeight="1">
      <c r="A4" s="636" t="s">
        <v>2213</v>
      </c>
      <c r="B4" s="636"/>
      <c r="C4" s="636"/>
      <c r="D4" s="636"/>
      <c r="E4" s="636"/>
      <c r="F4" s="636"/>
      <c r="G4" s="636"/>
      <c r="H4" s="636"/>
      <c r="I4" s="636"/>
      <c r="J4" s="636"/>
      <c r="K4" s="636"/>
      <c r="L4" s="636"/>
      <c r="M4" s="636"/>
      <c r="N4" s="636"/>
      <c r="O4" s="636"/>
      <c r="P4" s="636"/>
      <c r="Q4" s="636"/>
      <c r="R4" s="636"/>
      <c r="S4" s="636"/>
      <c r="T4" s="636"/>
      <c r="U4" s="636"/>
      <c r="V4" s="636"/>
      <c r="W4" s="636"/>
      <c r="X4" s="636"/>
      <c r="Y4" s="636"/>
      <c r="Z4" s="636"/>
      <c r="AA4" s="636"/>
      <c r="AB4" s="636"/>
      <c r="AC4" s="636"/>
      <c r="AD4" s="636"/>
      <c r="AE4" s="636"/>
      <c r="AF4" s="636"/>
      <c r="AG4" s="636"/>
    </row>
    <row r="5" spans="1:41" ht="20.100000000000001"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00000000000001"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899999999999999"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23"/>
      <c r="B8" s="623"/>
      <c r="C8" s="623"/>
      <c r="D8" s="623"/>
      <c r="E8" s="623"/>
      <c r="F8" s="623"/>
      <c r="G8" s="623"/>
      <c r="H8" s="623"/>
      <c r="I8" s="623"/>
      <c r="J8" s="623"/>
      <c r="K8" s="623"/>
      <c r="L8" s="623"/>
      <c r="M8" s="623"/>
      <c r="N8" s="623"/>
      <c r="O8" s="623"/>
      <c r="P8" s="623"/>
      <c r="Q8" s="623"/>
      <c r="R8" s="623"/>
      <c r="S8" s="623"/>
      <c r="T8" s="623"/>
      <c r="U8" s="623"/>
      <c r="V8" s="623"/>
      <c r="W8" s="623"/>
      <c r="X8" s="623"/>
      <c r="Y8" s="623"/>
      <c r="Z8" s="623"/>
      <c r="AA8" s="623"/>
      <c r="AB8" s="623"/>
      <c r="AC8" s="623"/>
      <c r="AD8" s="623"/>
      <c r="AE8" s="623"/>
      <c r="AF8" s="623"/>
      <c r="AG8" s="623"/>
      <c r="AH8" s="44"/>
    </row>
    <row r="9" spans="1:41" ht="24"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600000000000001" customHeight="1">
      <c r="A10" t="s">
        <v>2486</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899999999999999" customHeight="1">
      <c r="A11" s="48" t="s">
        <v>3</v>
      </c>
      <c r="B11" s="82"/>
      <c r="C11" s="656" t="s">
        <v>4</v>
      </c>
      <c r="D11" s="657"/>
      <c r="E11" s="657"/>
      <c r="F11" s="657"/>
      <c r="G11" s="657"/>
      <c r="H11" s="657"/>
      <c r="I11" s="657"/>
      <c r="J11" s="657"/>
      <c r="K11" s="657"/>
      <c r="L11" s="657"/>
      <c r="M11" s="657"/>
      <c r="N11" s="657"/>
      <c r="O11" s="657"/>
      <c r="P11" s="657"/>
      <c r="Q11" s="657"/>
      <c r="R11" s="658"/>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00000000000001"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 customHeight="1">
      <c r="A14" s="650" t="s">
        <v>6</v>
      </c>
      <c r="B14" s="650"/>
      <c r="C14" s="650"/>
      <c r="D14" s="650"/>
      <c r="E14" s="650"/>
      <c r="F14" s="650"/>
      <c r="G14" s="650"/>
      <c r="H14" s="650"/>
      <c r="I14" s="650"/>
      <c r="J14" s="650"/>
      <c r="K14" s="650"/>
      <c r="L14" s="650"/>
      <c r="M14" s="650"/>
      <c r="N14" s="650"/>
      <c r="O14" s="650"/>
      <c r="P14" s="650"/>
      <c r="Q14" s="650"/>
      <c r="R14" s="650"/>
      <c r="S14" s="650"/>
      <c r="T14" s="650"/>
      <c r="U14" s="650"/>
      <c r="V14" s="650"/>
      <c r="W14" s="650"/>
      <c r="X14" s="650"/>
      <c r="Y14" s="650"/>
      <c r="Z14" s="650"/>
      <c r="AA14" s="650"/>
      <c r="AB14" s="24"/>
      <c r="AC14" s="24"/>
      <c r="AD14" s="24"/>
      <c r="AE14" s="24"/>
      <c r="AF14" s="24"/>
    </row>
    <row r="15" spans="1:41" ht="20.100000000000001" customHeight="1">
      <c r="A15" s="654" t="s">
        <v>7</v>
      </c>
      <c r="B15" s="635" t="s">
        <v>8</v>
      </c>
      <c r="C15" s="635"/>
      <c r="D15" s="635"/>
      <c r="E15" s="635"/>
      <c r="F15" s="635"/>
      <c r="G15" s="635"/>
      <c r="H15" s="635"/>
      <c r="I15" s="635"/>
      <c r="J15" s="635"/>
      <c r="K15" s="635"/>
      <c r="L15" s="659" t="s">
        <v>2390</v>
      </c>
      <c r="M15" s="660"/>
      <c r="N15" s="660"/>
      <c r="O15" s="660"/>
      <c r="P15" s="660"/>
      <c r="Q15" s="660"/>
      <c r="R15" s="660"/>
      <c r="S15" s="660"/>
      <c r="T15" s="660"/>
      <c r="U15" s="660"/>
      <c r="V15" s="660"/>
      <c r="W15" s="660"/>
      <c r="X15" s="660"/>
      <c r="Y15" s="660"/>
      <c r="Z15" s="660"/>
      <c r="AA15" s="660"/>
      <c r="AB15" s="660"/>
      <c r="AC15" s="660"/>
      <c r="AD15" s="660"/>
      <c r="AE15" s="660"/>
      <c r="AF15" s="661"/>
    </row>
    <row r="16" spans="1:41" ht="20.100000000000001" customHeight="1">
      <c r="A16" s="655"/>
      <c r="B16" s="635" t="s">
        <v>9</v>
      </c>
      <c r="C16" s="635"/>
      <c r="D16" s="635"/>
      <c r="E16" s="635"/>
      <c r="F16" s="635"/>
      <c r="G16" s="635"/>
      <c r="H16" s="635"/>
      <c r="I16" s="635"/>
      <c r="J16" s="635"/>
      <c r="K16" s="635"/>
      <c r="L16" s="659" t="s">
        <v>2391</v>
      </c>
      <c r="M16" s="660"/>
      <c r="N16" s="660"/>
      <c r="O16" s="660"/>
      <c r="P16" s="660"/>
      <c r="Q16" s="660"/>
      <c r="R16" s="660"/>
      <c r="S16" s="660"/>
      <c r="T16" s="660"/>
      <c r="U16" s="660"/>
      <c r="V16" s="660"/>
      <c r="W16" s="660"/>
      <c r="X16" s="660"/>
      <c r="Y16" s="660"/>
      <c r="Z16" s="660"/>
      <c r="AA16" s="660"/>
      <c r="AB16" s="660"/>
      <c r="AC16" s="660"/>
      <c r="AD16" s="660"/>
      <c r="AE16" s="660"/>
      <c r="AF16" s="661"/>
    </row>
    <row r="17" spans="1:41" ht="20.100000000000001" customHeight="1">
      <c r="A17" s="640" t="s">
        <v>10</v>
      </c>
      <c r="B17" s="635" t="s">
        <v>11</v>
      </c>
      <c r="C17" s="635"/>
      <c r="D17" s="635"/>
      <c r="E17" s="635"/>
      <c r="F17" s="635"/>
      <c r="G17" s="635"/>
      <c r="H17" s="635"/>
      <c r="I17" s="635"/>
      <c r="J17" s="635"/>
      <c r="K17" s="635"/>
      <c r="L17" s="674" t="s">
        <v>12</v>
      </c>
      <c r="M17" s="675"/>
      <c r="N17" s="675"/>
      <c r="O17" s="676"/>
      <c r="P17" s="77" t="s">
        <v>13</v>
      </c>
      <c r="Q17" s="677" t="s">
        <v>2392</v>
      </c>
      <c r="R17" s="678"/>
      <c r="S17" s="678"/>
      <c r="T17" s="678"/>
      <c r="U17" s="679"/>
      <c r="V17" s="37"/>
      <c r="W17" s="37"/>
      <c r="X17" s="37"/>
      <c r="Y17" s="37"/>
      <c r="Z17" s="37"/>
      <c r="AB17" s="24"/>
      <c r="AC17" s="24"/>
      <c r="AD17" s="24"/>
      <c r="AO17" s="27" t="s">
        <v>14</v>
      </c>
    </row>
    <row r="18" spans="1:41" ht="44.25" customHeight="1">
      <c r="A18" s="665"/>
      <c r="B18" s="666" t="s">
        <v>15</v>
      </c>
      <c r="C18" s="666"/>
      <c r="D18" s="666"/>
      <c r="E18" s="666"/>
      <c r="F18" s="666"/>
      <c r="G18" s="666"/>
      <c r="H18" s="666"/>
      <c r="I18" s="666"/>
      <c r="J18" s="666"/>
      <c r="K18" s="666"/>
      <c r="L18" s="659" t="s">
        <v>2393</v>
      </c>
      <c r="M18" s="660"/>
      <c r="N18" s="660"/>
      <c r="O18" s="660"/>
      <c r="P18" s="660"/>
      <c r="Q18" s="660"/>
      <c r="R18" s="660"/>
      <c r="S18" s="660"/>
      <c r="T18" s="660"/>
      <c r="U18" s="660"/>
      <c r="V18" s="660"/>
      <c r="W18" s="660"/>
      <c r="X18" s="660"/>
      <c r="Y18" s="660"/>
      <c r="Z18" s="660"/>
      <c r="AA18" s="660"/>
      <c r="AB18" s="660"/>
      <c r="AC18" s="660"/>
      <c r="AD18" s="660"/>
      <c r="AE18" s="660"/>
      <c r="AF18" s="661"/>
      <c r="AO18" s="27" t="str">
        <f>L17&amp;"-"&amp;Q17</f>
        <v>100-１２３４</v>
      </c>
    </row>
    <row r="19" spans="1:41" ht="38.25" customHeight="1">
      <c r="A19" s="641"/>
      <c r="B19" s="666" t="s">
        <v>16</v>
      </c>
      <c r="C19" s="666"/>
      <c r="D19" s="666"/>
      <c r="E19" s="666"/>
      <c r="F19" s="666"/>
      <c r="G19" s="666"/>
      <c r="H19" s="666"/>
      <c r="I19" s="666"/>
      <c r="J19" s="666"/>
      <c r="K19" s="666"/>
      <c r="L19" s="662" t="s">
        <v>17</v>
      </c>
      <c r="M19" s="663"/>
      <c r="N19" s="663"/>
      <c r="O19" s="663"/>
      <c r="P19" s="663"/>
      <c r="Q19" s="663"/>
      <c r="R19" s="663"/>
      <c r="S19" s="663"/>
      <c r="T19" s="663"/>
      <c r="U19" s="663"/>
      <c r="V19" s="663"/>
      <c r="W19" s="663"/>
      <c r="X19" s="663"/>
      <c r="Y19" s="663"/>
      <c r="Z19" s="663"/>
      <c r="AA19" s="663"/>
      <c r="AB19" s="663"/>
      <c r="AC19" s="663"/>
      <c r="AD19" s="663"/>
      <c r="AE19" s="663"/>
      <c r="AF19" s="664"/>
    </row>
    <row r="20" spans="1:41" ht="30" customHeight="1">
      <c r="A20" s="644" t="s">
        <v>18</v>
      </c>
      <c r="B20" s="643" t="s">
        <v>19</v>
      </c>
      <c r="C20" s="635"/>
      <c r="D20" s="635"/>
      <c r="E20" s="635"/>
      <c r="F20" s="635"/>
      <c r="G20" s="635"/>
      <c r="H20" s="635"/>
      <c r="I20" s="635"/>
      <c r="J20" s="635"/>
      <c r="K20" s="635"/>
      <c r="L20" s="632" t="s">
        <v>20</v>
      </c>
      <c r="M20" s="633"/>
      <c r="N20" s="633"/>
      <c r="O20" s="633"/>
      <c r="P20" s="633"/>
      <c r="Q20" s="633"/>
      <c r="R20" s="633"/>
      <c r="S20" s="633"/>
      <c r="T20" s="633"/>
      <c r="U20" s="633"/>
      <c r="V20" s="633"/>
      <c r="W20" s="633"/>
      <c r="X20" s="633"/>
      <c r="Y20" s="633"/>
      <c r="Z20" s="633"/>
      <c r="AA20" s="633"/>
      <c r="AB20" s="633"/>
      <c r="AC20" s="633"/>
      <c r="AD20" s="633"/>
      <c r="AE20" s="633"/>
      <c r="AF20" s="634"/>
    </row>
    <row r="21" spans="1:41" ht="19.5" customHeight="1">
      <c r="A21" s="645"/>
      <c r="B21" s="642" t="s">
        <v>21</v>
      </c>
      <c r="C21" s="642"/>
      <c r="D21" s="642"/>
      <c r="E21" s="642"/>
      <c r="F21" s="642"/>
      <c r="G21" s="642"/>
      <c r="H21" s="642"/>
      <c r="I21" s="642"/>
      <c r="J21" s="642"/>
      <c r="K21" s="643"/>
      <c r="L21" s="632" t="s">
        <v>24</v>
      </c>
      <c r="M21" s="633"/>
      <c r="N21" s="633"/>
      <c r="O21" s="633"/>
      <c r="P21" s="633"/>
      <c r="Q21" s="633"/>
      <c r="R21" s="633"/>
      <c r="S21" s="633"/>
      <c r="T21" s="633"/>
      <c r="U21" s="633"/>
      <c r="V21" s="633"/>
      <c r="W21" s="633"/>
      <c r="X21" s="633"/>
      <c r="Y21" s="633"/>
      <c r="Z21" s="633"/>
      <c r="AA21" s="633"/>
      <c r="AB21" s="633"/>
      <c r="AC21" s="633"/>
      <c r="AD21" s="633"/>
      <c r="AE21" s="633"/>
      <c r="AF21" s="634"/>
    </row>
    <row r="22" spans="1:41" ht="20.100000000000001" customHeight="1">
      <c r="A22" s="651" t="s">
        <v>22</v>
      </c>
      <c r="B22" s="652"/>
      <c r="C22" s="652"/>
      <c r="D22" s="652"/>
      <c r="E22" s="652"/>
      <c r="F22" s="652"/>
      <c r="G22" s="652"/>
      <c r="H22" s="652"/>
      <c r="I22" s="652"/>
      <c r="J22" s="652"/>
      <c r="K22" s="653"/>
      <c r="L22" s="680" t="s">
        <v>2394</v>
      </c>
      <c r="M22" s="681"/>
      <c r="N22" s="681"/>
      <c r="O22" s="681"/>
      <c r="P22" s="681"/>
      <c r="Q22" s="681"/>
      <c r="R22" s="681"/>
      <c r="S22" s="681"/>
      <c r="T22" s="681"/>
      <c r="U22" s="681"/>
      <c r="V22" s="682"/>
      <c r="W22" s="38"/>
      <c r="X22" s="38"/>
      <c r="Y22" s="38"/>
      <c r="Z22" s="38"/>
      <c r="AA22" s="39"/>
      <c r="AB22" s="39"/>
      <c r="AC22" s="39"/>
      <c r="AD22" s="39"/>
      <c r="AE22" s="39"/>
      <c r="AF22" s="39"/>
      <c r="AI22" s="12"/>
    </row>
    <row r="23" spans="1:41" ht="20.100000000000001" customHeight="1">
      <c r="A23" s="638" t="s">
        <v>23</v>
      </c>
      <c r="B23" s="635" t="s">
        <v>8</v>
      </c>
      <c r="C23" s="635"/>
      <c r="D23" s="635"/>
      <c r="E23" s="635"/>
      <c r="F23" s="635"/>
      <c r="G23" s="635"/>
      <c r="H23" s="635"/>
      <c r="I23" s="635"/>
      <c r="J23" s="635"/>
      <c r="K23" s="635"/>
      <c r="L23" s="632" t="s">
        <v>2395</v>
      </c>
      <c r="M23" s="633"/>
      <c r="N23" s="633"/>
      <c r="O23" s="633"/>
      <c r="P23" s="633"/>
      <c r="Q23" s="633"/>
      <c r="R23" s="633"/>
      <c r="S23" s="633"/>
      <c r="T23" s="633"/>
      <c r="U23" s="633"/>
      <c r="V23" s="633"/>
      <c r="W23" s="633"/>
      <c r="X23" s="634"/>
      <c r="Y23" s="38"/>
      <c r="Z23" s="38"/>
      <c r="AA23" s="39"/>
      <c r="AB23" s="39"/>
      <c r="AC23" s="39"/>
      <c r="AD23" s="39"/>
      <c r="AE23" s="39"/>
      <c r="AF23" s="39"/>
    </row>
    <row r="24" spans="1:41" ht="20.100000000000001" customHeight="1">
      <c r="A24" s="639"/>
      <c r="B24" s="649" t="s">
        <v>21</v>
      </c>
      <c r="C24" s="649"/>
      <c r="D24" s="649"/>
      <c r="E24" s="649"/>
      <c r="F24" s="649"/>
      <c r="G24" s="649"/>
      <c r="H24" s="649"/>
      <c r="I24" s="649"/>
      <c r="J24" s="649"/>
      <c r="K24" s="649"/>
      <c r="L24" s="632" t="s">
        <v>2396</v>
      </c>
      <c r="M24" s="633"/>
      <c r="N24" s="633"/>
      <c r="O24" s="633"/>
      <c r="P24" s="633"/>
      <c r="Q24" s="633"/>
      <c r="R24" s="633"/>
      <c r="S24" s="633"/>
      <c r="T24" s="633"/>
      <c r="U24" s="633"/>
      <c r="V24" s="633"/>
      <c r="W24" s="633"/>
      <c r="X24" s="634"/>
      <c r="Y24" s="38"/>
      <c r="Z24" s="38"/>
      <c r="AA24" s="39"/>
      <c r="AB24" s="39"/>
      <c r="AC24" s="39"/>
      <c r="AD24" s="39"/>
      <c r="AE24" s="39"/>
      <c r="AF24" s="39"/>
    </row>
    <row r="25" spans="1:41" ht="20.100000000000001" customHeight="1">
      <c r="A25" s="640" t="s">
        <v>25</v>
      </c>
      <c r="B25" s="635" t="s">
        <v>26</v>
      </c>
      <c r="C25" s="635"/>
      <c r="D25" s="635"/>
      <c r="E25" s="635"/>
      <c r="F25" s="635"/>
      <c r="G25" s="635"/>
      <c r="H25" s="635"/>
      <c r="I25" s="635"/>
      <c r="J25" s="635"/>
      <c r="K25" s="635"/>
      <c r="L25" s="632" t="s">
        <v>2397</v>
      </c>
      <c r="M25" s="633"/>
      <c r="N25" s="633"/>
      <c r="O25" s="633"/>
      <c r="P25" s="633"/>
      <c r="Q25" s="633"/>
      <c r="R25" s="633"/>
      <c r="S25" s="633"/>
      <c r="T25" s="633"/>
      <c r="U25" s="633"/>
      <c r="V25" s="633"/>
      <c r="W25" s="633"/>
      <c r="X25" s="634"/>
      <c r="Y25" s="38"/>
      <c r="Z25" s="38"/>
      <c r="AA25" s="39"/>
      <c r="AB25" s="39"/>
      <c r="AC25" s="39"/>
      <c r="AD25" s="39"/>
      <c r="AE25" s="39"/>
      <c r="AF25" s="39"/>
    </row>
    <row r="26" spans="1:41" ht="20.100000000000001" customHeight="1">
      <c r="A26" s="641"/>
      <c r="B26" s="635" t="s">
        <v>27</v>
      </c>
      <c r="C26" s="635"/>
      <c r="D26" s="635"/>
      <c r="E26" s="635"/>
      <c r="F26" s="635"/>
      <c r="G26" s="635"/>
      <c r="H26" s="635"/>
      <c r="I26" s="635"/>
      <c r="J26" s="635"/>
      <c r="K26" s="635"/>
      <c r="L26" s="646" t="s">
        <v>2398</v>
      </c>
      <c r="M26" s="647"/>
      <c r="N26" s="647"/>
      <c r="O26" s="647"/>
      <c r="P26" s="647"/>
      <c r="Q26" s="647"/>
      <c r="R26" s="647"/>
      <c r="S26" s="647"/>
      <c r="T26" s="647"/>
      <c r="U26" s="647"/>
      <c r="V26" s="647"/>
      <c r="W26" s="647"/>
      <c r="X26" s="648"/>
      <c r="Y26" s="38"/>
      <c r="Z26" s="38"/>
      <c r="AA26" s="39"/>
      <c r="AB26" s="39"/>
      <c r="AC26" s="39"/>
      <c r="AD26" s="39"/>
      <c r="AE26" s="39"/>
      <c r="AF26" s="39"/>
    </row>
    <row r="27" spans="1:41" ht="13.9"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00000000000001" customHeight="1">
      <c r="A28" s="40" t="s">
        <v>28</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00000000000001" customHeight="1">
      <c r="A29" s="48" t="s">
        <v>29</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45" customHeight="1" thickBot="1">
      <c r="A30" s="623" t="s">
        <v>2219</v>
      </c>
      <c r="B30" s="623"/>
      <c r="C30" s="623"/>
      <c r="D30" s="623"/>
      <c r="E30" s="623"/>
      <c r="F30" s="623"/>
      <c r="G30" s="623"/>
      <c r="H30" s="623"/>
      <c r="I30" s="623"/>
      <c r="J30" s="623"/>
      <c r="K30" s="623"/>
      <c r="L30" s="623"/>
      <c r="M30" s="623"/>
      <c r="N30" s="623"/>
      <c r="O30" s="623"/>
      <c r="P30" s="623"/>
      <c r="Q30" s="623"/>
      <c r="R30" s="623"/>
      <c r="S30" s="623"/>
      <c r="T30" s="623"/>
      <c r="U30" s="623"/>
      <c r="V30" s="623"/>
      <c r="W30" s="623"/>
      <c r="X30" s="623"/>
      <c r="Y30" s="623"/>
      <c r="Z30" s="623"/>
      <c r="AA30" s="623"/>
      <c r="AB30" s="623"/>
      <c r="AC30" s="623"/>
      <c r="AD30" s="623"/>
      <c r="AE30" s="623"/>
      <c r="AF30" s="623"/>
      <c r="AG30" s="623"/>
    </row>
    <row r="31" spans="1:41" s="41" customFormat="1" ht="23.45" customHeight="1" thickBot="1">
      <c r="A31" s="626" t="s">
        <v>2220</v>
      </c>
      <c r="B31" s="626"/>
      <c r="C31" s="626"/>
      <c r="D31" s="626"/>
      <c r="E31" s="626"/>
      <c r="F31" s="626"/>
      <c r="G31" s="626"/>
      <c r="H31" s="626"/>
      <c r="I31" s="626"/>
      <c r="J31" s="626"/>
      <c r="K31" s="626"/>
      <c r="L31" s="626"/>
      <c r="M31" s="626"/>
      <c r="N31" s="626"/>
      <c r="O31" s="626"/>
      <c r="P31" s="626"/>
      <c r="Q31" s="626"/>
      <c r="R31" s="626"/>
      <c r="S31" s="626"/>
      <c r="T31" s="626"/>
      <c r="U31" s="626"/>
      <c r="V31" s="626"/>
      <c r="W31" s="626"/>
      <c r="X31" s="626"/>
      <c r="Y31" s="626"/>
      <c r="Z31" s="626"/>
      <c r="AA31" s="626"/>
      <c r="AB31" s="626"/>
      <c r="AC31" s="626"/>
      <c r="AD31" s="626"/>
      <c r="AE31" s="626"/>
      <c r="AF31" s="627"/>
      <c r="AG31" s="105"/>
    </row>
    <row r="32" spans="1:41" s="41" customFormat="1" ht="18">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 customHeight="1">
      <c r="A33" s="691" t="s">
        <v>31</v>
      </c>
      <c r="B33" s="667" t="s">
        <v>2221</v>
      </c>
      <c r="C33" s="668"/>
      <c r="D33" s="668"/>
      <c r="E33" s="668"/>
      <c r="F33" s="668"/>
      <c r="G33" s="668"/>
      <c r="H33" s="668"/>
      <c r="I33" s="668"/>
      <c r="J33" s="668"/>
      <c r="K33" s="669"/>
      <c r="L33" s="667" t="s">
        <v>32</v>
      </c>
      <c r="M33" s="668"/>
      <c r="N33" s="668"/>
      <c r="O33" s="668"/>
      <c r="P33" s="669"/>
      <c r="Q33" s="693" t="s">
        <v>33</v>
      </c>
      <c r="R33" s="694"/>
      <c r="S33" s="694"/>
      <c r="T33" s="694"/>
      <c r="U33" s="694"/>
      <c r="V33" s="695"/>
      <c r="W33" s="628" t="s">
        <v>34</v>
      </c>
      <c r="X33" s="628"/>
      <c r="Y33" s="628"/>
      <c r="Z33" s="628" t="s">
        <v>35</v>
      </c>
      <c r="AA33" s="628"/>
      <c r="AB33" s="628"/>
      <c r="AC33" s="689" t="s">
        <v>36</v>
      </c>
      <c r="AD33" s="621" t="s">
        <v>2222</v>
      </c>
      <c r="AE33" s="696" t="s">
        <v>2223</v>
      </c>
      <c r="AF33" s="624" t="s">
        <v>2224</v>
      </c>
      <c r="AG33" s="670"/>
      <c r="AH33"/>
      <c r="AI33"/>
      <c r="AJ33"/>
      <c r="AK33"/>
      <c r="AL33"/>
      <c r="AM33"/>
      <c r="AN33"/>
    </row>
    <row r="34" spans="1:43" s="41" customFormat="1" ht="47.45" customHeight="1" thickBot="1">
      <c r="A34" s="692"/>
      <c r="B34" s="670"/>
      <c r="C34" s="671"/>
      <c r="D34" s="671"/>
      <c r="E34" s="671"/>
      <c r="F34" s="671"/>
      <c r="G34" s="671"/>
      <c r="H34" s="671"/>
      <c r="I34" s="671"/>
      <c r="J34" s="671"/>
      <c r="K34" s="672"/>
      <c r="L34" s="670"/>
      <c r="M34" s="671"/>
      <c r="N34" s="671"/>
      <c r="O34" s="671"/>
      <c r="P34" s="672"/>
      <c r="Q34" s="621" t="s">
        <v>37</v>
      </c>
      <c r="R34" s="640"/>
      <c r="S34" s="640"/>
      <c r="T34" s="640"/>
      <c r="U34" s="640"/>
      <c r="V34" s="289" t="s">
        <v>38</v>
      </c>
      <c r="W34" s="621"/>
      <c r="X34" s="621"/>
      <c r="Y34" s="621"/>
      <c r="Z34" s="621"/>
      <c r="AA34" s="621"/>
      <c r="AB34" s="621"/>
      <c r="AC34" s="690"/>
      <c r="AD34" s="622"/>
      <c r="AE34" s="697"/>
      <c r="AF34" s="625"/>
      <c r="AG34" s="670"/>
      <c r="AH34"/>
      <c r="AI34"/>
      <c r="AJ34"/>
      <c r="AK34"/>
      <c r="AL34"/>
      <c r="AM34"/>
      <c r="AN34"/>
    </row>
    <row r="35" spans="1:43" ht="45" customHeight="1" thickBot="1">
      <c r="A35" s="50">
        <v>1</v>
      </c>
      <c r="B35" s="610" t="s">
        <v>2399</v>
      </c>
      <c r="C35" s="611"/>
      <c r="D35" s="611"/>
      <c r="E35" s="611"/>
      <c r="F35" s="611"/>
      <c r="G35" s="611"/>
      <c r="H35" s="611"/>
      <c r="I35" s="611"/>
      <c r="J35" s="611"/>
      <c r="K35" s="612"/>
      <c r="L35" s="683" t="s">
        <v>39</v>
      </c>
      <c r="M35" s="684"/>
      <c r="N35" s="684"/>
      <c r="O35" s="684"/>
      <c r="P35" s="685"/>
      <c r="Q35" s="673" t="s">
        <v>4</v>
      </c>
      <c r="R35" s="673"/>
      <c r="S35" s="673"/>
      <c r="T35" s="673"/>
      <c r="U35" s="673"/>
      <c r="V35" s="292" t="s">
        <v>436</v>
      </c>
      <c r="W35" s="698" t="s">
        <v>2405</v>
      </c>
      <c r="X35" s="699"/>
      <c r="Y35" s="700"/>
      <c r="Z35" s="629" t="s">
        <v>2273</v>
      </c>
      <c r="AA35" s="629"/>
      <c r="AB35" s="629"/>
      <c r="AC35" s="293" t="str">
        <f>IFERROR(VLOOKUP(Z35,【参考】数式用!$A$4:$B$57,2,FALSE),"")</f>
        <v>11</v>
      </c>
      <c r="AD35" s="599">
        <v>620000</v>
      </c>
      <c r="AE35" s="600">
        <v>282720</v>
      </c>
      <c r="AF35" s="291">
        <f>AD35-AE35</f>
        <v>337280</v>
      </c>
      <c r="AG35" s="519"/>
      <c r="AH35" s="51"/>
      <c r="AI35" s="51"/>
      <c r="AJ35" s="51"/>
      <c r="AK35" s="51"/>
      <c r="AL35" s="51"/>
      <c r="AM35" s="51"/>
      <c r="AN35" s="51"/>
      <c r="AP35" s="102" t="str">
        <f>IF($L$16="", "", VLOOKUP(Z35,【参考】数式用!$A$2:$O$57,14,FALSE))</f>
        <v>加算対象</v>
      </c>
      <c r="AQ35" s="27" t="str">
        <f>VLOOKUP(Z35,【参考】数式用!$A$2:$O$57,15,FALSE)</f>
        <v>その他</v>
      </c>
    </row>
    <row r="36" spans="1:43" ht="45" customHeight="1" thickBot="1">
      <c r="A36" s="50">
        <f>A35+1</f>
        <v>2</v>
      </c>
      <c r="B36" s="610" t="s">
        <v>2400</v>
      </c>
      <c r="C36" s="611"/>
      <c r="D36" s="611"/>
      <c r="E36" s="611"/>
      <c r="F36" s="611"/>
      <c r="G36" s="611"/>
      <c r="H36" s="611"/>
      <c r="I36" s="611"/>
      <c r="J36" s="611"/>
      <c r="K36" s="612"/>
      <c r="L36" s="613" t="s">
        <v>42</v>
      </c>
      <c r="M36" s="614"/>
      <c r="N36" s="614"/>
      <c r="O36" s="614"/>
      <c r="P36" s="615"/>
      <c r="Q36" s="616" t="s">
        <v>4</v>
      </c>
      <c r="R36" s="616"/>
      <c r="S36" s="616"/>
      <c r="T36" s="616"/>
      <c r="U36" s="616"/>
      <c r="V36" s="290" t="s">
        <v>1381</v>
      </c>
      <c r="W36" s="617" t="s">
        <v>2406</v>
      </c>
      <c r="X36" s="618"/>
      <c r="Y36" s="619"/>
      <c r="Z36" s="620" t="s">
        <v>2283</v>
      </c>
      <c r="AA36" s="620"/>
      <c r="AB36" s="620"/>
      <c r="AC36" s="112" t="str">
        <f>IFERROR(VLOOKUP(Z36,【参考】数式用!$A$4:$B$57,2,FALSE),"")</f>
        <v>22</v>
      </c>
      <c r="AD36" s="601">
        <v>4740000</v>
      </c>
      <c r="AE36" s="602">
        <v>374460</v>
      </c>
      <c r="AF36" s="291">
        <f t="shared" ref="AF36:AF100" si="0">AD36-AE36</f>
        <v>4365540</v>
      </c>
      <c r="AG36" s="519"/>
      <c r="AP36" s="102" t="str">
        <f>IF($L$16="", "", VLOOKUP(Z36,【参考】数式用!$A$2:$O$57,14,FALSE))</f>
        <v>加算対象</v>
      </c>
      <c r="AQ36" s="27" t="str">
        <f>VLOOKUP(Z36,【参考】数式用!$A$2:$O$57,15,FALSE)</f>
        <v>その他</v>
      </c>
    </row>
    <row r="37" spans="1:43" ht="49.9" customHeight="1" thickBot="1">
      <c r="A37" s="50">
        <f t="shared" ref="A37:A100" si="1">A36+1</f>
        <v>3</v>
      </c>
      <c r="B37" s="610" t="s">
        <v>2401</v>
      </c>
      <c r="C37" s="611"/>
      <c r="D37" s="611"/>
      <c r="E37" s="611"/>
      <c r="F37" s="611"/>
      <c r="G37" s="611"/>
      <c r="H37" s="611"/>
      <c r="I37" s="611"/>
      <c r="J37" s="611"/>
      <c r="K37" s="612"/>
      <c r="L37" s="613" t="s">
        <v>42</v>
      </c>
      <c r="M37" s="614"/>
      <c r="N37" s="614"/>
      <c r="O37" s="614"/>
      <c r="P37" s="615"/>
      <c r="Q37" s="616" t="s">
        <v>4</v>
      </c>
      <c r="R37" s="616"/>
      <c r="S37" s="616"/>
      <c r="T37" s="616"/>
      <c r="U37" s="616"/>
      <c r="V37" s="290" t="s">
        <v>529</v>
      </c>
      <c r="W37" s="617" t="s">
        <v>2407</v>
      </c>
      <c r="X37" s="618"/>
      <c r="Y37" s="619"/>
      <c r="Z37" s="620" t="s">
        <v>2305</v>
      </c>
      <c r="AA37" s="620"/>
      <c r="AB37" s="620"/>
      <c r="AC37" s="112" t="str">
        <f>IFERROR(VLOOKUP(Z37,【参考】数式用!$A$4:$B$57,2,FALSE),"")</f>
        <v>46</v>
      </c>
      <c r="AD37" s="601">
        <v>2370000</v>
      </c>
      <c r="AE37" s="602">
        <v>248850</v>
      </c>
      <c r="AF37" s="291">
        <f t="shared" si="0"/>
        <v>2121150</v>
      </c>
      <c r="AG37" s="519"/>
      <c r="AP37" s="102" t="str">
        <f>IF($L$16="", "", VLOOKUP(Z37,【参考】数式用!$A$2:$O$57,14,FALSE))</f>
        <v>加算対象</v>
      </c>
      <c r="AQ37" s="27" t="str">
        <f>VLOOKUP(Z37,【参考】数式用!$A$2:$O$57,15,FALSE)</f>
        <v>その他</v>
      </c>
    </row>
    <row r="38" spans="1:43" ht="49.9" customHeight="1" thickBot="1">
      <c r="A38" s="50">
        <f t="shared" si="1"/>
        <v>4</v>
      </c>
      <c r="B38" s="610" t="s">
        <v>2402</v>
      </c>
      <c r="C38" s="611"/>
      <c r="D38" s="611"/>
      <c r="E38" s="611"/>
      <c r="F38" s="611"/>
      <c r="G38" s="611"/>
      <c r="H38" s="611"/>
      <c r="I38" s="611"/>
      <c r="J38" s="611"/>
      <c r="K38" s="612"/>
      <c r="L38" s="613" t="s">
        <v>42</v>
      </c>
      <c r="M38" s="614"/>
      <c r="N38" s="614"/>
      <c r="O38" s="614"/>
      <c r="P38" s="615"/>
      <c r="Q38" s="616" t="s">
        <v>4</v>
      </c>
      <c r="R38" s="616"/>
      <c r="S38" s="616"/>
      <c r="T38" s="616"/>
      <c r="U38" s="616"/>
      <c r="V38" s="290" t="s">
        <v>448</v>
      </c>
      <c r="W38" s="617" t="s">
        <v>2408</v>
      </c>
      <c r="X38" s="618"/>
      <c r="Y38" s="619"/>
      <c r="Z38" s="620" t="s">
        <v>2438</v>
      </c>
      <c r="AA38" s="620"/>
      <c r="AB38" s="620"/>
      <c r="AC38" s="112" t="str">
        <f>IFERROR(VLOOKUP(Z38,【参考】数式用!$A$4:$B$57,2,FALSE),"")</f>
        <v>42</v>
      </c>
      <c r="AD38" s="601">
        <v>7100000</v>
      </c>
      <c r="AE38" s="602">
        <v>880400</v>
      </c>
      <c r="AF38" s="291">
        <f t="shared" ref="AF38" si="2">AD38-AE38</f>
        <v>6219600</v>
      </c>
      <c r="AG38" s="519"/>
      <c r="AP38" s="102" t="str">
        <f>IF($L$16="", "", VLOOKUP(Z38,【参考】数式用!$A$2:$O$57,14,FALSE))</f>
        <v>加算対象</v>
      </c>
      <c r="AQ38" s="27" t="str">
        <f>VLOOKUP(Z38,【参考】数式用!$A$2:$O$57,15,FALSE)</f>
        <v>短期利用型</v>
      </c>
    </row>
    <row r="39" spans="1:43" ht="49.9" customHeight="1" thickBot="1">
      <c r="A39" s="50">
        <f t="shared" si="1"/>
        <v>5</v>
      </c>
      <c r="B39" s="610" t="s">
        <v>2403</v>
      </c>
      <c r="C39" s="611"/>
      <c r="D39" s="611"/>
      <c r="E39" s="611"/>
      <c r="F39" s="611"/>
      <c r="G39" s="611"/>
      <c r="H39" s="611"/>
      <c r="I39" s="611"/>
      <c r="J39" s="611"/>
      <c r="K39" s="612"/>
      <c r="L39" s="613" t="s">
        <v>42</v>
      </c>
      <c r="M39" s="614"/>
      <c r="N39" s="614"/>
      <c r="O39" s="614"/>
      <c r="P39" s="615"/>
      <c r="Q39" s="616" t="s">
        <v>4</v>
      </c>
      <c r="R39" s="616"/>
      <c r="S39" s="616"/>
      <c r="T39" s="616"/>
      <c r="U39" s="616"/>
      <c r="V39" s="290" t="s">
        <v>465</v>
      </c>
      <c r="W39" s="617" t="s">
        <v>2409</v>
      </c>
      <c r="X39" s="618"/>
      <c r="Y39" s="619"/>
      <c r="Z39" s="620" t="s">
        <v>2289</v>
      </c>
      <c r="AA39" s="620"/>
      <c r="AB39" s="620"/>
      <c r="AC39" s="112" t="str">
        <f>IFERROR(VLOOKUP(Z39,【参考】数式用!$A$4:$B$57,2,FALSE),"")</f>
        <v>21</v>
      </c>
      <c r="AD39" s="601">
        <v>12700000</v>
      </c>
      <c r="AE39" s="602">
        <v>2057400</v>
      </c>
      <c r="AF39" s="291">
        <f t="shared" si="0"/>
        <v>10642600</v>
      </c>
      <c r="AG39" s="519"/>
      <c r="AP39" s="102" t="str">
        <f>IF($L$16="", "", VLOOKUP(Z39,【参考】数式用!$A$2:$O$57,14,FALSE))</f>
        <v>加算対象</v>
      </c>
      <c r="AQ39" s="27" t="str">
        <f>VLOOKUP(Z39,【参考】数式用!$A$2:$O$57,15,FALSE)</f>
        <v>介護予防</v>
      </c>
    </row>
    <row r="40" spans="1:43" ht="49.9" customHeight="1" thickBot="1">
      <c r="A40" s="50">
        <f t="shared" si="1"/>
        <v>6</v>
      </c>
      <c r="B40" s="610" t="s">
        <v>2404</v>
      </c>
      <c r="C40" s="611"/>
      <c r="D40" s="611"/>
      <c r="E40" s="611"/>
      <c r="F40" s="611"/>
      <c r="G40" s="611"/>
      <c r="H40" s="611"/>
      <c r="I40" s="611"/>
      <c r="J40" s="611"/>
      <c r="K40" s="612"/>
      <c r="L40" s="613" t="s">
        <v>42</v>
      </c>
      <c r="M40" s="614"/>
      <c r="N40" s="614"/>
      <c r="O40" s="614"/>
      <c r="P40" s="615"/>
      <c r="Q40" s="616" t="s">
        <v>4</v>
      </c>
      <c r="R40" s="616"/>
      <c r="S40" s="616"/>
      <c r="T40" s="616"/>
      <c r="U40" s="616"/>
      <c r="V40" s="290" t="s">
        <v>1372</v>
      </c>
      <c r="W40" s="617" t="s">
        <v>2410</v>
      </c>
      <c r="X40" s="618"/>
      <c r="Y40" s="619"/>
      <c r="Z40" s="620" t="s">
        <v>2335</v>
      </c>
      <c r="AA40" s="620"/>
      <c r="AB40" s="620"/>
      <c r="AC40" s="112" t="str">
        <f>IFERROR(VLOOKUP(Z40,【参考】数式用!$A$4:$B$57,2,FALSE),"")</f>
        <v>52</v>
      </c>
      <c r="AD40" s="601">
        <v>500000</v>
      </c>
      <c r="AE40" s="602">
        <v>25500</v>
      </c>
      <c r="AF40" s="291">
        <f t="shared" si="0"/>
        <v>474500</v>
      </c>
      <c r="AG40" s="519"/>
      <c r="AP40" s="102" t="str">
        <f>IF($L$16="", "", VLOOKUP(Z40,【参考】数式用!$A$2:$O$57,14,FALSE))</f>
        <v>加算対象外</v>
      </c>
      <c r="AQ40" s="27" t="str">
        <f>VLOOKUP(Z40,【参考】数式用!$A$2:$O$57,15,FALSE)</f>
        <v>その他</v>
      </c>
    </row>
    <row r="41" spans="1:43" ht="49.9" customHeight="1">
      <c r="A41" s="50">
        <f t="shared" si="1"/>
        <v>7</v>
      </c>
      <c r="B41" s="610" t="s">
        <v>2412</v>
      </c>
      <c r="C41" s="611"/>
      <c r="D41" s="611"/>
      <c r="E41" s="611"/>
      <c r="F41" s="611"/>
      <c r="G41" s="611"/>
      <c r="H41" s="611"/>
      <c r="I41" s="611"/>
      <c r="J41" s="611"/>
      <c r="K41" s="612"/>
      <c r="L41" s="613" t="s">
        <v>39</v>
      </c>
      <c r="M41" s="614"/>
      <c r="N41" s="614"/>
      <c r="O41" s="614"/>
      <c r="P41" s="615"/>
      <c r="Q41" s="616" t="s">
        <v>4</v>
      </c>
      <c r="R41" s="616"/>
      <c r="S41" s="616"/>
      <c r="T41" s="616"/>
      <c r="U41" s="616"/>
      <c r="V41" s="290" t="s">
        <v>1371</v>
      </c>
      <c r="W41" s="617" t="s">
        <v>2411</v>
      </c>
      <c r="X41" s="618"/>
      <c r="Y41" s="619"/>
      <c r="Z41" s="620" t="s">
        <v>2337</v>
      </c>
      <c r="AA41" s="620"/>
      <c r="AB41" s="620"/>
      <c r="AC41" s="112" t="str">
        <f>IFERROR(VLOOKUP(Z41,【参考】数式用!$A$4:$B$57,2,FALSE),"")</f>
        <v>53</v>
      </c>
      <c r="AD41" s="288">
        <v>400000</v>
      </c>
      <c r="AE41" s="294">
        <v>20400</v>
      </c>
      <c r="AF41" s="291">
        <f t="shared" si="0"/>
        <v>379600</v>
      </c>
      <c r="AG41" s="519"/>
      <c r="AP41" s="102" t="str">
        <f>IF($L$16="", "", VLOOKUP(Z41,【参考】数式用!$A$2:$O$57,14,FALSE))</f>
        <v>加算対象外</v>
      </c>
      <c r="AQ41" s="27" t="str">
        <f>VLOOKUP(Z41,【参考】数式用!$A$2:$O$57,15,FALSE)</f>
        <v>その他</v>
      </c>
    </row>
    <row r="42" spans="1:43" ht="49.9" customHeight="1">
      <c r="A42" s="50">
        <f t="shared" si="1"/>
        <v>8</v>
      </c>
      <c r="B42" s="687" t="s">
        <v>2499</v>
      </c>
      <c r="C42" s="688"/>
      <c r="D42" s="688"/>
      <c r="E42" s="688"/>
      <c r="F42" s="688"/>
      <c r="G42" s="688"/>
      <c r="H42" s="688"/>
      <c r="I42" s="688"/>
      <c r="J42" s="688"/>
      <c r="K42" s="688"/>
      <c r="L42" s="686" t="s">
        <v>39</v>
      </c>
      <c r="M42" s="686"/>
      <c r="N42" s="686"/>
      <c r="O42" s="686"/>
      <c r="P42" s="686"/>
      <c r="Q42" s="616" t="s">
        <v>4</v>
      </c>
      <c r="R42" s="616"/>
      <c r="S42" s="616"/>
      <c r="T42" s="616"/>
      <c r="U42" s="616"/>
      <c r="V42" s="290" t="s">
        <v>1361</v>
      </c>
      <c r="W42" s="620" t="s">
        <v>2500</v>
      </c>
      <c r="X42" s="620"/>
      <c r="Y42" s="620"/>
      <c r="Z42" s="620" t="s">
        <v>2329</v>
      </c>
      <c r="AA42" s="620"/>
      <c r="AB42" s="620"/>
      <c r="AC42" s="112" t="str">
        <f>IFERROR(VLOOKUP(Z42,【参考】数式用!$A$4:$B$57,2,FALSE),"")</f>
        <v>22</v>
      </c>
      <c r="AD42" s="288">
        <v>500000</v>
      </c>
      <c r="AE42" s="294">
        <v>20000</v>
      </c>
      <c r="AF42" s="291">
        <f t="shared" si="0"/>
        <v>480000</v>
      </c>
      <c r="AG42" s="519"/>
      <c r="AP42" s="102" t="str">
        <f>IF($L$16="", "", VLOOKUP(Z42,【参考】数式用!$A$2:$O$57,14,FALSE))</f>
        <v>加算対象</v>
      </c>
      <c r="AQ42" s="27" t="str">
        <f>VLOOKUP(Z42,【参考】数式用!$A$2:$O$57,15,FALSE)</f>
        <v>介護予防</v>
      </c>
    </row>
    <row r="43" spans="1:43" ht="49.9" customHeight="1">
      <c r="A43" s="50">
        <f t="shared" si="1"/>
        <v>9</v>
      </c>
      <c r="B43" s="687"/>
      <c r="C43" s="688"/>
      <c r="D43" s="688"/>
      <c r="E43" s="688"/>
      <c r="F43" s="688"/>
      <c r="G43" s="688"/>
      <c r="H43" s="688"/>
      <c r="I43" s="688"/>
      <c r="J43" s="688"/>
      <c r="K43" s="688"/>
      <c r="L43" s="686"/>
      <c r="M43" s="686"/>
      <c r="N43" s="686"/>
      <c r="O43" s="686"/>
      <c r="P43" s="686"/>
      <c r="Q43" s="616"/>
      <c r="R43" s="616"/>
      <c r="S43" s="616"/>
      <c r="T43" s="616"/>
      <c r="U43" s="616"/>
      <c r="V43" s="290"/>
      <c r="W43" s="620"/>
      <c r="X43" s="620"/>
      <c r="Y43" s="620"/>
      <c r="Z43" s="620"/>
      <c r="AA43" s="620"/>
      <c r="AB43" s="620"/>
      <c r="AC43" s="112" t="str">
        <f>IFERROR(VLOOKUP(Z43,【参考】数式用!$A$4:$B$57,2,FALSE),"")</f>
        <v/>
      </c>
      <c r="AD43" s="288"/>
      <c r="AE43" s="294"/>
      <c r="AF43" s="291">
        <f t="shared" si="0"/>
        <v>0</v>
      </c>
      <c r="AG43" s="519"/>
      <c r="AP43" s="102" t="e">
        <f>IF($L$16="", "", VLOOKUP(Z43,【参考】数式用!$A$2:$O$57,14,FALSE))</f>
        <v>#N/A</v>
      </c>
      <c r="AQ43" s="27" t="e">
        <f>VLOOKUP(Z43,【参考】数式用!$A$2:$O$57,15,FALSE)</f>
        <v>#N/A</v>
      </c>
    </row>
    <row r="44" spans="1:43" ht="49.9" customHeight="1">
      <c r="A44" s="50">
        <f t="shared" si="1"/>
        <v>10</v>
      </c>
      <c r="B44" s="687"/>
      <c r="C44" s="688"/>
      <c r="D44" s="688"/>
      <c r="E44" s="688"/>
      <c r="F44" s="688"/>
      <c r="G44" s="688"/>
      <c r="H44" s="688"/>
      <c r="I44" s="688"/>
      <c r="J44" s="688"/>
      <c r="K44" s="688"/>
      <c r="L44" s="686"/>
      <c r="M44" s="686"/>
      <c r="N44" s="686"/>
      <c r="O44" s="686"/>
      <c r="P44" s="686"/>
      <c r="Q44" s="616"/>
      <c r="R44" s="616"/>
      <c r="S44" s="616"/>
      <c r="T44" s="616"/>
      <c r="U44" s="616"/>
      <c r="V44" s="290"/>
      <c r="W44" s="620"/>
      <c r="X44" s="620"/>
      <c r="Y44" s="620"/>
      <c r="Z44" s="620"/>
      <c r="AA44" s="620"/>
      <c r="AB44" s="620"/>
      <c r="AC44" s="112" t="str">
        <f>IFERROR(VLOOKUP(Z44,【参考】数式用!$A$4:$B$57,2,FALSE),"")</f>
        <v/>
      </c>
      <c r="AD44" s="288"/>
      <c r="AE44" s="294"/>
      <c r="AF44" s="291">
        <f t="shared" si="0"/>
        <v>0</v>
      </c>
      <c r="AG44" s="519"/>
      <c r="AP44" s="102" t="e">
        <f>IF($L$16="", "", VLOOKUP(Z44,【参考】数式用!$A$2:$O$57,14,FALSE))</f>
        <v>#N/A</v>
      </c>
      <c r="AQ44" s="27" t="e">
        <f>VLOOKUP(Z44,【参考】数式用!$A$2:$O$57,15,FALSE)</f>
        <v>#N/A</v>
      </c>
    </row>
    <row r="45" spans="1:43" ht="49.9" customHeight="1">
      <c r="A45" s="50">
        <f t="shared" si="1"/>
        <v>11</v>
      </c>
      <c r="B45" s="687"/>
      <c r="C45" s="688"/>
      <c r="D45" s="688"/>
      <c r="E45" s="688"/>
      <c r="F45" s="688"/>
      <c r="G45" s="688"/>
      <c r="H45" s="688"/>
      <c r="I45" s="688"/>
      <c r="J45" s="688"/>
      <c r="K45" s="688"/>
      <c r="L45" s="686"/>
      <c r="M45" s="686"/>
      <c r="N45" s="686"/>
      <c r="O45" s="686"/>
      <c r="P45" s="686"/>
      <c r="Q45" s="616"/>
      <c r="R45" s="616"/>
      <c r="S45" s="616"/>
      <c r="T45" s="616"/>
      <c r="U45" s="616"/>
      <c r="V45" s="290"/>
      <c r="W45" s="620"/>
      <c r="X45" s="620"/>
      <c r="Y45" s="620"/>
      <c r="Z45" s="620"/>
      <c r="AA45" s="620"/>
      <c r="AB45" s="620"/>
      <c r="AC45" s="112" t="str">
        <f>IFERROR(VLOOKUP(Z45,【参考】数式用!$A$4:$B$57,2,FALSE),"")</f>
        <v/>
      </c>
      <c r="AD45" s="288"/>
      <c r="AE45" s="294"/>
      <c r="AF45" s="291">
        <f t="shared" si="0"/>
        <v>0</v>
      </c>
      <c r="AG45" s="519"/>
      <c r="AP45" s="102" t="e">
        <f>IF($L$16="", "", VLOOKUP(Z45,【参考】数式用!$A$2:$O$57,14,FALSE))</f>
        <v>#N/A</v>
      </c>
      <c r="AQ45" s="27" t="e">
        <f>VLOOKUP(Z45,【参考】数式用!$A$2:$O$57,15,FALSE)</f>
        <v>#N/A</v>
      </c>
    </row>
    <row r="46" spans="1:43" ht="49.9" customHeight="1">
      <c r="A46" s="50">
        <f t="shared" si="1"/>
        <v>12</v>
      </c>
      <c r="B46" s="687"/>
      <c r="C46" s="688"/>
      <c r="D46" s="688"/>
      <c r="E46" s="688"/>
      <c r="F46" s="688"/>
      <c r="G46" s="688"/>
      <c r="H46" s="688"/>
      <c r="I46" s="688"/>
      <c r="J46" s="688"/>
      <c r="K46" s="688"/>
      <c r="L46" s="686"/>
      <c r="M46" s="686"/>
      <c r="N46" s="686"/>
      <c r="O46" s="686"/>
      <c r="P46" s="686"/>
      <c r="Q46" s="616"/>
      <c r="R46" s="616"/>
      <c r="S46" s="616"/>
      <c r="T46" s="616"/>
      <c r="U46" s="616"/>
      <c r="V46" s="290"/>
      <c r="W46" s="620"/>
      <c r="X46" s="620"/>
      <c r="Y46" s="620"/>
      <c r="Z46" s="620"/>
      <c r="AA46" s="620"/>
      <c r="AB46" s="620"/>
      <c r="AC46" s="112" t="str">
        <f>IFERROR(VLOOKUP(Z46,【参考】数式用!$A$4:$B$57,2,FALSE),"")</f>
        <v/>
      </c>
      <c r="AD46" s="288"/>
      <c r="AE46" s="294"/>
      <c r="AF46" s="291">
        <f t="shared" si="0"/>
        <v>0</v>
      </c>
      <c r="AG46" s="519"/>
      <c r="AP46" s="102" t="e">
        <f>IF($L$16="", "", VLOOKUP(Z46,【参考】数式用!$A$2:$O$57,14,FALSE))</f>
        <v>#N/A</v>
      </c>
      <c r="AQ46" s="27" t="e">
        <f>VLOOKUP(Z46,【参考】数式用!$A$2:$O$57,15,FALSE)</f>
        <v>#N/A</v>
      </c>
    </row>
    <row r="47" spans="1:43" ht="49.9" customHeight="1">
      <c r="A47" s="50">
        <f t="shared" si="1"/>
        <v>13</v>
      </c>
      <c r="B47" s="687"/>
      <c r="C47" s="688"/>
      <c r="D47" s="688"/>
      <c r="E47" s="688"/>
      <c r="F47" s="688"/>
      <c r="G47" s="688"/>
      <c r="H47" s="688"/>
      <c r="I47" s="688"/>
      <c r="J47" s="688"/>
      <c r="K47" s="688"/>
      <c r="L47" s="686"/>
      <c r="M47" s="686"/>
      <c r="N47" s="686"/>
      <c r="O47" s="686"/>
      <c r="P47" s="686"/>
      <c r="Q47" s="616"/>
      <c r="R47" s="616"/>
      <c r="S47" s="616"/>
      <c r="T47" s="616"/>
      <c r="U47" s="616"/>
      <c r="V47" s="290"/>
      <c r="W47" s="620"/>
      <c r="X47" s="620"/>
      <c r="Y47" s="620"/>
      <c r="Z47" s="620"/>
      <c r="AA47" s="620"/>
      <c r="AB47" s="620"/>
      <c r="AC47" s="112" t="str">
        <f>IFERROR(VLOOKUP(Z47,【参考】数式用!$A$4:$B$57,2,FALSE),"")</f>
        <v/>
      </c>
      <c r="AD47" s="288"/>
      <c r="AE47" s="294"/>
      <c r="AF47" s="291">
        <f t="shared" si="0"/>
        <v>0</v>
      </c>
      <c r="AG47" s="519"/>
      <c r="AP47" s="102" t="e">
        <f>IF($L$16="", "", VLOOKUP(Z47,【参考】数式用!$A$2:$O$57,14,FALSE))</f>
        <v>#N/A</v>
      </c>
      <c r="AQ47" s="27" t="e">
        <f>VLOOKUP(Z47,【参考】数式用!$A$2:$O$57,15,FALSE)</f>
        <v>#N/A</v>
      </c>
    </row>
    <row r="48" spans="1:43" ht="49.9" customHeight="1">
      <c r="A48" s="50">
        <f t="shared" si="1"/>
        <v>14</v>
      </c>
      <c r="B48" s="687"/>
      <c r="C48" s="688"/>
      <c r="D48" s="688"/>
      <c r="E48" s="688"/>
      <c r="F48" s="688"/>
      <c r="G48" s="688"/>
      <c r="H48" s="688"/>
      <c r="I48" s="688"/>
      <c r="J48" s="688"/>
      <c r="K48" s="688"/>
      <c r="L48" s="686"/>
      <c r="M48" s="686"/>
      <c r="N48" s="686"/>
      <c r="O48" s="686"/>
      <c r="P48" s="686"/>
      <c r="Q48" s="616"/>
      <c r="R48" s="616"/>
      <c r="S48" s="616"/>
      <c r="T48" s="616"/>
      <c r="U48" s="616"/>
      <c r="V48" s="290"/>
      <c r="W48" s="620"/>
      <c r="X48" s="620"/>
      <c r="Y48" s="620"/>
      <c r="Z48" s="620"/>
      <c r="AA48" s="620"/>
      <c r="AB48" s="620"/>
      <c r="AC48" s="112" t="str">
        <f>IFERROR(VLOOKUP(Z48,【参考】数式用!$A$4:$B$57,2,FALSE),"")</f>
        <v/>
      </c>
      <c r="AD48" s="288"/>
      <c r="AE48" s="294"/>
      <c r="AF48" s="291">
        <f t="shared" si="0"/>
        <v>0</v>
      </c>
      <c r="AG48" s="519"/>
      <c r="AP48" s="102" t="e">
        <f>IF($L$16="", "", VLOOKUP(Z48,【参考】数式用!$A$2:$O$57,14,FALSE))</f>
        <v>#N/A</v>
      </c>
      <c r="AQ48" s="27" t="e">
        <f>VLOOKUP(Z48,【参考】数式用!$A$2:$O$57,15,FALSE)</f>
        <v>#N/A</v>
      </c>
    </row>
    <row r="49" spans="1:43" ht="49.9" customHeight="1">
      <c r="A49" s="50">
        <f t="shared" si="1"/>
        <v>15</v>
      </c>
      <c r="B49" s="687"/>
      <c r="C49" s="688"/>
      <c r="D49" s="688"/>
      <c r="E49" s="688"/>
      <c r="F49" s="688"/>
      <c r="G49" s="688"/>
      <c r="H49" s="688"/>
      <c r="I49" s="688"/>
      <c r="J49" s="688"/>
      <c r="K49" s="688"/>
      <c r="L49" s="686"/>
      <c r="M49" s="686"/>
      <c r="N49" s="686"/>
      <c r="O49" s="686"/>
      <c r="P49" s="686"/>
      <c r="Q49" s="616"/>
      <c r="R49" s="616"/>
      <c r="S49" s="616"/>
      <c r="T49" s="616"/>
      <c r="U49" s="616"/>
      <c r="V49" s="290"/>
      <c r="W49" s="620"/>
      <c r="X49" s="620"/>
      <c r="Y49" s="620"/>
      <c r="Z49" s="620"/>
      <c r="AA49" s="620"/>
      <c r="AB49" s="620"/>
      <c r="AC49" s="112" t="str">
        <f>IFERROR(VLOOKUP(Z49,【参考】数式用!$A$4:$B$57,2,FALSE),"")</f>
        <v/>
      </c>
      <c r="AD49" s="288"/>
      <c r="AE49" s="294"/>
      <c r="AF49" s="291">
        <f t="shared" si="0"/>
        <v>0</v>
      </c>
      <c r="AG49" s="519"/>
      <c r="AP49" s="102" t="e">
        <f>IF($L$16="", "", VLOOKUP(Z49,【参考】数式用!$A$2:$O$57,14,FALSE))</f>
        <v>#N/A</v>
      </c>
      <c r="AQ49" s="27" t="e">
        <f>VLOOKUP(Z49,【参考】数式用!$A$2:$O$57,15,FALSE)</f>
        <v>#N/A</v>
      </c>
    </row>
    <row r="50" spans="1:43" ht="49.9" customHeight="1">
      <c r="A50" s="50">
        <f t="shared" si="1"/>
        <v>16</v>
      </c>
      <c r="B50" s="687"/>
      <c r="C50" s="688"/>
      <c r="D50" s="688"/>
      <c r="E50" s="688"/>
      <c r="F50" s="688"/>
      <c r="G50" s="688"/>
      <c r="H50" s="688"/>
      <c r="I50" s="688"/>
      <c r="J50" s="688"/>
      <c r="K50" s="688"/>
      <c r="L50" s="686"/>
      <c r="M50" s="686"/>
      <c r="N50" s="686"/>
      <c r="O50" s="686"/>
      <c r="P50" s="686"/>
      <c r="Q50" s="616"/>
      <c r="R50" s="616"/>
      <c r="S50" s="616"/>
      <c r="T50" s="616"/>
      <c r="U50" s="616"/>
      <c r="V50" s="290"/>
      <c r="W50" s="620"/>
      <c r="X50" s="620"/>
      <c r="Y50" s="620"/>
      <c r="Z50" s="620"/>
      <c r="AA50" s="620"/>
      <c r="AB50" s="620"/>
      <c r="AC50" s="112" t="str">
        <f>IFERROR(VLOOKUP(Z50,【参考】数式用!$A$4:$B$57,2,FALSE),"")</f>
        <v/>
      </c>
      <c r="AD50" s="288"/>
      <c r="AE50" s="294"/>
      <c r="AF50" s="291">
        <f t="shared" si="0"/>
        <v>0</v>
      </c>
      <c r="AG50" s="519"/>
      <c r="AP50" s="102" t="e">
        <f>IF($L$16="", "", VLOOKUP(Z50,【参考】数式用!$A$2:$O$57,14,FALSE))</f>
        <v>#N/A</v>
      </c>
      <c r="AQ50" s="27" t="e">
        <f>VLOOKUP(Z50,【参考】数式用!$A$2:$O$57,15,FALSE)</f>
        <v>#N/A</v>
      </c>
    </row>
    <row r="51" spans="1:43" ht="49.9" customHeight="1">
      <c r="A51" s="50">
        <f t="shared" si="1"/>
        <v>17</v>
      </c>
      <c r="B51" s="687"/>
      <c r="C51" s="688"/>
      <c r="D51" s="688"/>
      <c r="E51" s="688"/>
      <c r="F51" s="688"/>
      <c r="G51" s="688"/>
      <c r="H51" s="688"/>
      <c r="I51" s="688"/>
      <c r="J51" s="688"/>
      <c r="K51" s="688"/>
      <c r="L51" s="686"/>
      <c r="M51" s="686"/>
      <c r="N51" s="686"/>
      <c r="O51" s="686"/>
      <c r="P51" s="686"/>
      <c r="Q51" s="616"/>
      <c r="R51" s="616"/>
      <c r="S51" s="616"/>
      <c r="T51" s="616"/>
      <c r="U51" s="616"/>
      <c r="V51" s="290"/>
      <c r="W51" s="620"/>
      <c r="X51" s="620"/>
      <c r="Y51" s="620"/>
      <c r="Z51" s="620"/>
      <c r="AA51" s="620"/>
      <c r="AB51" s="620"/>
      <c r="AC51" s="112" t="str">
        <f>IFERROR(VLOOKUP(Z51,【参考】数式用!$A$4:$B$57,2,FALSE),"")</f>
        <v/>
      </c>
      <c r="AD51" s="288"/>
      <c r="AE51" s="294"/>
      <c r="AF51" s="291">
        <f t="shared" si="0"/>
        <v>0</v>
      </c>
      <c r="AG51" s="519"/>
      <c r="AP51" s="102" t="e">
        <f>IF($L$16="", "", VLOOKUP(Z51,【参考】数式用!$A$2:$O$57,14,FALSE))</f>
        <v>#N/A</v>
      </c>
      <c r="AQ51" s="27" t="e">
        <f>VLOOKUP(Z51,【参考】数式用!$A$2:$O$57,15,FALSE)</f>
        <v>#N/A</v>
      </c>
    </row>
    <row r="52" spans="1:43" ht="49.9" customHeight="1">
      <c r="A52" s="50">
        <f t="shared" si="1"/>
        <v>18</v>
      </c>
      <c r="B52" s="687"/>
      <c r="C52" s="688"/>
      <c r="D52" s="688"/>
      <c r="E52" s="688"/>
      <c r="F52" s="688"/>
      <c r="G52" s="688"/>
      <c r="H52" s="688"/>
      <c r="I52" s="688"/>
      <c r="J52" s="688"/>
      <c r="K52" s="688"/>
      <c r="L52" s="686"/>
      <c r="M52" s="686"/>
      <c r="N52" s="686"/>
      <c r="O52" s="686"/>
      <c r="P52" s="686"/>
      <c r="Q52" s="616"/>
      <c r="R52" s="616"/>
      <c r="S52" s="616"/>
      <c r="T52" s="616"/>
      <c r="U52" s="616"/>
      <c r="V52" s="290"/>
      <c r="W52" s="620"/>
      <c r="X52" s="620"/>
      <c r="Y52" s="620"/>
      <c r="Z52" s="620"/>
      <c r="AA52" s="620"/>
      <c r="AB52" s="620"/>
      <c r="AC52" s="112" t="str">
        <f>IFERROR(VLOOKUP(Z52,【参考】数式用!$A$4:$B$57,2,FALSE),"")</f>
        <v/>
      </c>
      <c r="AD52" s="288"/>
      <c r="AE52" s="294"/>
      <c r="AF52" s="291">
        <f t="shared" si="0"/>
        <v>0</v>
      </c>
      <c r="AG52" s="519"/>
      <c r="AP52" s="102" t="e">
        <f>IF($L$16="", "", VLOOKUP(Z52,【参考】数式用!$A$2:$O$57,14,FALSE))</f>
        <v>#N/A</v>
      </c>
      <c r="AQ52" s="27" t="e">
        <f>VLOOKUP(Z52,【参考】数式用!$A$2:$O$57,15,FALSE)</f>
        <v>#N/A</v>
      </c>
    </row>
    <row r="53" spans="1:43" ht="49.9" customHeight="1">
      <c r="A53" s="50">
        <f t="shared" si="1"/>
        <v>19</v>
      </c>
      <c r="B53" s="687"/>
      <c r="C53" s="688"/>
      <c r="D53" s="688"/>
      <c r="E53" s="688"/>
      <c r="F53" s="688"/>
      <c r="G53" s="688"/>
      <c r="H53" s="688"/>
      <c r="I53" s="688"/>
      <c r="J53" s="688"/>
      <c r="K53" s="688"/>
      <c r="L53" s="686"/>
      <c r="M53" s="686"/>
      <c r="N53" s="686"/>
      <c r="O53" s="686"/>
      <c r="P53" s="686"/>
      <c r="Q53" s="616"/>
      <c r="R53" s="616"/>
      <c r="S53" s="616"/>
      <c r="T53" s="616"/>
      <c r="U53" s="616"/>
      <c r="V53" s="290"/>
      <c r="W53" s="620"/>
      <c r="X53" s="620"/>
      <c r="Y53" s="620"/>
      <c r="Z53" s="620"/>
      <c r="AA53" s="620"/>
      <c r="AB53" s="620"/>
      <c r="AC53" s="112" t="str">
        <f>IFERROR(VLOOKUP(Z53,【参考】数式用!$A$4:$B$57,2,FALSE),"")</f>
        <v/>
      </c>
      <c r="AD53" s="288"/>
      <c r="AE53" s="294"/>
      <c r="AF53" s="291">
        <f t="shared" si="0"/>
        <v>0</v>
      </c>
      <c r="AG53" s="519"/>
      <c r="AP53" s="102" t="e">
        <f>IF($L$16="", "", VLOOKUP(Z53,【参考】数式用!$A$2:$O$57,14,FALSE))</f>
        <v>#N/A</v>
      </c>
      <c r="AQ53" s="27" t="e">
        <f>VLOOKUP(Z53,【参考】数式用!$A$2:$O$57,15,FALSE)</f>
        <v>#N/A</v>
      </c>
    </row>
    <row r="54" spans="1:43" ht="49.9" customHeight="1">
      <c r="A54" s="50">
        <f t="shared" si="1"/>
        <v>20</v>
      </c>
      <c r="B54" s="687"/>
      <c r="C54" s="688"/>
      <c r="D54" s="688"/>
      <c r="E54" s="688"/>
      <c r="F54" s="688"/>
      <c r="G54" s="688"/>
      <c r="H54" s="688"/>
      <c r="I54" s="688"/>
      <c r="J54" s="688"/>
      <c r="K54" s="688"/>
      <c r="L54" s="686"/>
      <c r="M54" s="686"/>
      <c r="N54" s="686"/>
      <c r="O54" s="686"/>
      <c r="P54" s="686"/>
      <c r="Q54" s="616"/>
      <c r="R54" s="616"/>
      <c r="S54" s="616"/>
      <c r="T54" s="616"/>
      <c r="U54" s="616"/>
      <c r="V54" s="290"/>
      <c r="W54" s="620"/>
      <c r="X54" s="620"/>
      <c r="Y54" s="620"/>
      <c r="Z54" s="620"/>
      <c r="AA54" s="620"/>
      <c r="AB54" s="620"/>
      <c r="AC54" s="112" t="str">
        <f>IFERROR(VLOOKUP(Z54,【参考】数式用!$A$4:$B$57,2,FALSE),"")</f>
        <v/>
      </c>
      <c r="AD54" s="288"/>
      <c r="AE54" s="294"/>
      <c r="AF54" s="291">
        <f t="shared" si="0"/>
        <v>0</v>
      </c>
      <c r="AG54" s="519"/>
      <c r="AP54" s="102" t="e">
        <f>IF($L$16="", "", VLOOKUP(Z54,【参考】数式用!$A$2:$O$57,14,FALSE))</f>
        <v>#N/A</v>
      </c>
      <c r="AQ54" s="27" t="e">
        <f>VLOOKUP(Z54,【参考】数式用!$A$2:$O$57,15,FALSE)</f>
        <v>#N/A</v>
      </c>
    </row>
    <row r="55" spans="1:43" ht="49.9" customHeight="1">
      <c r="A55" s="50">
        <f t="shared" si="1"/>
        <v>21</v>
      </c>
      <c r="B55" s="687"/>
      <c r="C55" s="688"/>
      <c r="D55" s="688"/>
      <c r="E55" s="688"/>
      <c r="F55" s="688"/>
      <c r="G55" s="688"/>
      <c r="H55" s="688"/>
      <c r="I55" s="688"/>
      <c r="J55" s="688"/>
      <c r="K55" s="688"/>
      <c r="L55" s="686"/>
      <c r="M55" s="686"/>
      <c r="N55" s="686"/>
      <c r="O55" s="686"/>
      <c r="P55" s="686"/>
      <c r="Q55" s="616"/>
      <c r="R55" s="616"/>
      <c r="S55" s="616"/>
      <c r="T55" s="616"/>
      <c r="U55" s="616"/>
      <c r="V55" s="290"/>
      <c r="W55" s="620"/>
      <c r="X55" s="620"/>
      <c r="Y55" s="620"/>
      <c r="Z55" s="620"/>
      <c r="AA55" s="620"/>
      <c r="AB55" s="620"/>
      <c r="AC55" s="112" t="str">
        <f>IFERROR(VLOOKUP(Z55,【参考】数式用!$A$4:$B$57,2,FALSE),"")</f>
        <v/>
      </c>
      <c r="AD55" s="288"/>
      <c r="AE55" s="294"/>
      <c r="AF55" s="291">
        <f t="shared" si="0"/>
        <v>0</v>
      </c>
      <c r="AG55" s="519"/>
      <c r="AP55" s="102" t="e">
        <f>IF($L$16="", "", VLOOKUP(Z55,【参考】数式用!$A$2:$O$57,14,FALSE))</f>
        <v>#N/A</v>
      </c>
      <c r="AQ55" s="27" t="e">
        <f>VLOOKUP(Z55,【参考】数式用!$A$2:$O$57,15,FALSE)</f>
        <v>#N/A</v>
      </c>
    </row>
    <row r="56" spans="1:43" ht="49.9" customHeight="1">
      <c r="A56" s="50">
        <f t="shared" si="1"/>
        <v>22</v>
      </c>
      <c r="B56" s="687"/>
      <c r="C56" s="688"/>
      <c r="D56" s="688"/>
      <c r="E56" s="688"/>
      <c r="F56" s="688"/>
      <c r="G56" s="688"/>
      <c r="H56" s="688"/>
      <c r="I56" s="688"/>
      <c r="J56" s="688"/>
      <c r="K56" s="688"/>
      <c r="L56" s="686"/>
      <c r="M56" s="686"/>
      <c r="N56" s="686"/>
      <c r="O56" s="686"/>
      <c r="P56" s="686"/>
      <c r="Q56" s="616"/>
      <c r="R56" s="616"/>
      <c r="S56" s="616"/>
      <c r="T56" s="616"/>
      <c r="U56" s="616"/>
      <c r="V56" s="290"/>
      <c r="W56" s="620"/>
      <c r="X56" s="620"/>
      <c r="Y56" s="620"/>
      <c r="Z56" s="620"/>
      <c r="AA56" s="620"/>
      <c r="AB56" s="620"/>
      <c r="AC56" s="112" t="str">
        <f>IFERROR(VLOOKUP(Z56,【参考】数式用!$A$4:$B$57,2,FALSE),"")</f>
        <v/>
      </c>
      <c r="AD56" s="288"/>
      <c r="AE56" s="294"/>
      <c r="AF56" s="291">
        <f t="shared" si="0"/>
        <v>0</v>
      </c>
      <c r="AG56" s="519"/>
      <c r="AP56" s="102" t="e">
        <f>IF($L$16="", "", VLOOKUP(Z56,【参考】数式用!$A$2:$O$57,14,FALSE))</f>
        <v>#N/A</v>
      </c>
      <c r="AQ56" s="27" t="e">
        <f>VLOOKUP(Z56,【参考】数式用!$A$2:$O$57,15,FALSE)</f>
        <v>#N/A</v>
      </c>
    </row>
    <row r="57" spans="1:43" ht="49.9" customHeight="1">
      <c r="A57" s="50">
        <f t="shared" si="1"/>
        <v>23</v>
      </c>
      <c r="B57" s="687"/>
      <c r="C57" s="688"/>
      <c r="D57" s="688"/>
      <c r="E57" s="688"/>
      <c r="F57" s="688"/>
      <c r="G57" s="688"/>
      <c r="H57" s="688"/>
      <c r="I57" s="688"/>
      <c r="J57" s="688"/>
      <c r="K57" s="688"/>
      <c r="L57" s="686"/>
      <c r="M57" s="686"/>
      <c r="N57" s="686"/>
      <c r="O57" s="686"/>
      <c r="P57" s="686"/>
      <c r="Q57" s="616"/>
      <c r="R57" s="616"/>
      <c r="S57" s="616"/>
      <c r="T57" s="616"/>
      <c r="U57" s="616"/>
      <c r="V57" s="290"/>
      <c r="W57" s="620"/>
      <c r="X57" s="620"/>
      <c r="Y57" s="620"/>
      <c r="Z57" s="620"/>
      <c r="AA57" s="620"/>
      <c r="AB57" s="620"/>
      <c r="AC57" s="112" t="str">
        <f>IFERROR(VLOOKUP(Z57,【参考】数式用!$A$4:$B$57,2,FALSE),"")</f>
        <v/>
      </c>
      <c r="AD57" s="288"/>
      <c r="AE57" s="294"/>
      <c r="AF57" s="291">
        <f t="shared" si="0"/>
        <v>0</v>
      </c>
      <c r="AG57" s="519"/>
      <c r="AP57" s="102" t="e">
        <f>IF($L$16="", "", VLOOKUP(Z57,【参考】数式用!$A$2:$O$57,14,FALSE))</f>
        <v>#N/A</v>
      </c>
      <c r="AQ57" s="27" t="e">
        <f>VLOOKUP(Z57,【参考】数式用!$A$2:$O$57,15,FALSE)</f>
        <v>#N/A</v>
      </c>
    </row>
    <row r="58" spans="1:43" ht="49.9" customHeight="1">
      <c r="A58" s="50">
        <f t="shared" si="1"/>
        <v>24</v>
      </c>
      <c r="B58" s="687"/>
      <c r="C58" s="688"/>
      <c r="D58" s="688"/>
      <c r="E58" s="688"/>
      <c r="F58" s="688"/>
      <c r="G58" s="688"/>
      <c r="H58" s="688"/>
      <c r="I58" s="688"/>
      <c r="J58" s="688"/>
      <c r="K58" s="688"/>
      <c r="L58" s="686"/>
      <c r="M58" s="686"/>
      <c r="N58" s="686"/>
      <c r="O58" s="686"/>
      <c r="P58" s="686"/>
      <c r="Q58" s="616"/>
      <c r="R58" s="616"/>
      <c r="S58" s="616"/>
      <c r="T58" s="616"/>
      <c r="U58" s="616"/>
      <c r="V58" s="290"/>
      <c r="W58" s="620"/>
      <c r="X58" s="620"/>
      <c r="Y58" s="620"/>
      <c r="Z58" s="620"/>
      <c r="AA58" s="620"/>
      <c r="AB58" s="620"/>
      <c r="AC58" s="112" t="str">
        <f>IFERROR(VLOOKUP(Z58,【参考】数式用!$A$4:$B$57,2,FALSE),"")</f>
        <v/>
      </c>
      <c r="AD58" s="288"/>
      <c r="AE58" s="294"/>
      <c r="AF58" s="291">
        <f t="shared" si="0"/>
        <v>0</v>
      </c>
      <c r="AG58" s="519"/>
      <c r="AP58" s="102" t="e">
        <f>IF($L$16="", "", VLOOKUP(Z58,【参考】数式用!$A$2:$O$57,14,FALSE))</f>
        <v>#N/A</v>
      </c>
      <c r="AQ58" s="27" t="e">
        <f>VLOOKUP(Z58,【参考】数式用!$A$2:$O$57,15,FALSE)</f>
        <v>#N/A</v>
      </c>
    </row>
    <row r="59" spans="1:43" ht="49.9" customHeight="1">
      <c r="A59" s="50">
        <f t="shared" si="1"/>
        <v>25</v>
      </c>
      <c r="B59" s="687"/>
      <c r="C59" s="688"/>
      <c r="D59" s="688"/>
      <c r="E59" s="688"/>
      <c r="F59" s="688"/>
      <c r="G59" s="688"/>
      <c r="H59" s="688"/>
      <c r="I59" s="688"/>
      <c r="J59" s="688"/>
      <c r="K59" s="688"/>
      <c r="L59" s="686"/>
      <c r="M59" s="686"/>
      <c r="N59" s="686"/>
      <c r="O59" s="686"/>
      <c r="P59" s="686"/>
      <c r="Q59" s="616"/>
      <c r="R59" s="616"/>
      <c r="S59" s="616"/>
      <c r="T59" s="616"/>
      <c r="U59" s="616"/>
      <c r="V59" s="290"/>
      <c r="W59" s="620"/>
      <c r="X59" s="620"/>
      <c r="Y59" s="620"/>
      <c r="Z59" s="620"/>
      <c r="AA59" s="620"/>
      <c r="AB59" s="620"/>
      <c r="AC59" s="112" t="str">
        <f>IFERROR(VLOOKUP(Z59,【参考】数式用!$A$4:$B$57,2,FALSE),"")</f>
        <v/>
      </c>
      <c r="AD59" s="288"/>
      <c r="AE59" s="294"/>
      <c r="AF59" s="291">
        <f t="shared" si="0"/>
        <v>0</v>
      </c>
      <c r="AG59" s="519"/>
      <c r="AP59" s="102" t="e">
        <f>IF($L$16="", "", VLOOKUP(Z59,【参考】数式用!$A$2:$O$57,14,FALSE))</f>
        <v>#N/A</v>
      </c>
      <c r="AQ59" s="27" t="e">
        <f>VLOOKUP(Z59,【参考】数式用!$A$2:$O$57,15,FALSE)</f>
        <v>#N/A</v>
      </c>
    </row>
    <row r="60" spans="1:43" ht="49.9" customHeight="1">
      <c r="A60" s="50">
        <f t="shared" si="1"/>
        <v>26</v>
      </c>
      <c r="B60" s="687"/>
      <c r="C60" s="688"/>
      <c r="D60" s="688"/>
      <c r="E60" s="688"/>
      <c r="F60" s="688"/>
      <c r="G60" s="688"/>
      <c r="H60" s="688"/>
      <c r="I60" s="688"/>
      <c r="J60" s="688"/>
      <c r="K60" s="688"/>
      <c r="L60" s="686"/>
      <c r="M60" s="686"/>
      <c r="N60" s="686"/>
      <c r="O60" s="686"/>
      <c r="P60" s="686"/>
      <c r="Q60" s="616"/>
      <c r="R60" s="616"/>
      <c r="S60" s="616"/>
      <c r="T60" s="616"/>
      <c r="U60" s="616"/>
      <c r="V60" s="290"/>
      <c r="W60" s="620"/>
      <c r="X60" s="620"/>
      <c r="Y60" s="620"/>
      <c r="Z60" s="620"/>
      <c r="AA60" s="620"/>
      <c r="AB60" s="620"/>
      <c r="AC60" s="112" t="str">
        <f>IFERROR(VLOOKUP(Z60,【参考】数式用!$A$4:$B$57,2,FALSE),"")</f>
        <v/>
      </c>
      <c r="AD60" s="288"/>
      <c r="AE60" s="294"/>
      <c r="AF60" s="291">
        <f t="shared" si="0"/>
        <v>0</v>
      </c>
      <c r="AG60" s="519"/>
      <c r="AP60" s="102" t="e">
        <f>IF($L$16="", "", VLOOKUP(Z60,【参考】数式用!$A$2:$O$57,14,FALSE))</f>
        <v>#N/A</v>
      </c>
      <c r="AQ60" s="27" t="e">
        <f>VLOOKUP(Z60,【参考】数式用!$A$2:$O$57,15,FALSE)</f>
        <v>#N/A</v>
      </c>
    </row>
    <row r="61" spans="1:43" ht="49.9" customHeight="1">
      <c r="A61" s="50">
        <f t="shared" si="1"/>
        <v>27</v>
      </c>
      <c r="B61" s="687"/>
      <c r="C61" s="688"/>
      <c r="D61" s="688"/>
      <c r="E61" s="688"/>
      <c r="F61" s="688"/>
      <c r="G61" s="688"/>
      <c r="H61" s="688"/>
      <c r="I61" s="688"/>
      <c r="J61" s="688"/>
      <c r="K61" s="688"/>
      <c r="L61" s="686"/>
      <c r="M61" s="686"/>
      <c r="N61" s="686"/>
      <c r="O61" s="686"/>
      <c r="P61" s="686"/>
      <c r="Q61" s="616"/>
      <c r="R61" s="616"/>
      <c r="S61" s="616"/>
      <c r="T61" s="616"/>
      <c r="U61" s="616"/>
      <c r="V61" s="290"/>
      <c r="W61" s="620"/>
      <c r="X61" s="620"/>
      <c r="Y61" s="620"/>
      <c r="Z61" s="620"/>
      <c r="AA61" s="620"/>
      <c r="AB61" s="620"/>
      <c r="AC61" s="112" t="str">
        <f>IFERROR(VLOOKUP(Z61,【参考】数式用!$A$4:$B$57,2,FALSE),"")</f>
        <v/>
      </c>
      <c r="AD61" s="288"/>
      <c r="AE61" s="294"/>
      <c r="AF61" s="291">
        <f t="shared" si="0"/>
        <v>0</v>
      </c>
      <c r="AG61" s="519"/>
      <c r="AP61" s="102" t="e">
        <f>IF($L$16="", "", VLOOKUP(Z61,【参考】数式用!$A$2:$O$57,14,FALSE))</f>
        <v>#N/A</v>
      </c>
      <c r="AQ61" s="27" t="e">
        <f>VLOOKUP(Z61,【参考】数式用!$A$2:$O$57,15,FALSE)</f>
        <v>#N/A</v>
      </c>
    </row>
    <row r="62" spans="1:43" ht="49.9" customHeight="1">
      <c r="A62" s="50">
        <f t="shared" si="1"/>
        <v>28</v>
      </c>
      <c r="B62" s="687"/>
      <c r="C62" s="688"/>
      <c r="D62" s="688"/>
      <c r="E62" s="688"/>
      <c r="F62" s="688"/>
      <c r="G62" s="688"/>
      <c r="H62" s="688"/>
      <c r="I62" s="688"/>
      <c r="J62" s="688"/>
      <c r="K62" s="688"/>
      <c r="L62" s="686"/>
      <c r="M62" s="686"/>
      <c r="N62" s="686"/>
      <c r="O62" s="686"/>
      <c r="P62" s="686"/>
      <c r="Q62" s="616"/>
      <c r="R62" s="616"/>
      <c r="S62" s="616"/>
      <c r="T62" s="616"/>
      <c r="U62" s="616"/>
      <c r="V62" s="290"/>
      <c r="W62" s="620"/>
      <c r="X62" s="620"/>
      <c r="Y62" s="620"/>
      <c r="Z62" s="620"/>
      <c r="AA62" s="620"/>
      <c r="AB62" s="620"/>
      <c r="AC62" s="112" t="str">
        <f>IFERROR(VLOOKUP(Z62,【参考】数式用!$A$4:$B$57,2,FALSE),"")</f>
        <v/>
      </c>
      <c r="AD62" s="288"/>
      <c r="AE62" s="294"/>
      <c r="AF62" s="291">
        <f t="shared" si="0"/>
        <v>0</v>
      </c>
      <c r="AG62" s="519"/>
      <c r="AP62" s="102" t="e">
        <f>IF($L$16="", "", VLOOKUP(Z62,【参考】数式用!$A$2:$O$57,14,FALSE))</f>
        <v>#N/A</v>
      </c>
      <c r="AQ62" s="27" t="e">
        <f>VLOOKUP(Z62,【参考】数式用!$A$2:$O$57,15,FALSE)</f>
        <v>#N/A</v>
      </c>
    </row>
    <row r="63" spans="1:43" ht="49.9" customHeight="1">
      <c r="A63" s="50">
        <f t="shared" si="1"/>
        <v>29</v>
      </c>
      <c r="B63" s="687"/>
      <c r="C63" s="688"/>
      <c r="D63" s="688"/>
      <c r="E63" s="688"/>
      <c r="F63" s="688"/>
      <c r="G63" s="688"/>
      <c r="H63" s="688"/>
      <c r="I63" s="688"/>
      <c r="J63" s="688"/>
      <c r="K63" s="688"/>
      <c r="L63" s="686"/>
      <c r="M63" s="686"/>
      <c r="N63" s="686"/>
      <c r="O63" s="686"/>
      <c r="P63" s="686"/>
      <c r="Q63" s="616"/>
      <c r="R63" s="616"/>
      <c r="S63" s="616"/>
      <c r="T63" s="616"/>
      <c r="U63" s="616"/>
      <c r="V63" s="290"/>
      <c r="W63" s="620"/>
      <c r="X63" s="620"/>
      <c r="Y63" s="620"/>
      <c r="Z63" s="620"/>
      <c r="AA63" s="620"/>
      <c r="AB63" s="620"/>
      <c r="AC63" s="112" t="str">
        <f>IFERROR(VLOOKUP(Z63,【参考】数式用!$A$4:$B$57,2,FALSE),"")</f>
        <v/>
      </c>
      <c r="AD63" s="288"/>
      <c r="AE63" s="294"/>
      <c r="AF63" s="291">
        <f t="shared" si="0"/>
        <v>0</v>
      </c>
      <c r="AG63" s="519"/>
      <c r="AP63" s="102" t="e">
        <f>IF($L$16="", "", VLOOKUP(Z63,【参考】数式用!$A$2:$O$57,14,FALSE))</f>
        <v>#N/A</v>
      </c>
      <c r="AQ63" s="27" t="e">
        <f>VLOOKUP(Z63,【参考】数式用!$A$2:$O$57,15,FALSE)</f>
        <v>#N/A</v>
      </c>
    </row>
    <row r="64" spans="1:43" ht="49.9" customHeight="1">
      <c r="A64" s="50">
        <f t="shared" si="1"/>
        <v>30</v>
      </c>
      <c r="B64" s="687"/>
      <c r="C64" s="688"/>
      <c r="D64" s="688"/>
      <c r="E64" s="688"/>
      <c r="F64" s="688"/>
      <c r="G64" s="688"/>
      <c r="H64" s="688"/>
      <c r="I64" s="688"/>
      <c r="J64" s="688"/>
      <c r="K64" s="688"/>
      <c r="L64" s="686"/>
      <c r="M64" s="686"/>
      <c r="N64" s="686"/>
      <c r="O64" s="686"/>
      <c r="P64" s="686"/>
      <c r="Q64" s="616"/>
      <c r="R64" s="616"/>
      <c r="S64" s="616"/>
      <c r="T64" s="616"/>
      <c r="U64" s="616"/>
      <c r="V64" s="290"/>
      <c r="W64" s="620"/>
      <c r="X64" s="620"/>
      <c r="Y64" s="620"/>
      <c r="Z64" s="620"/>
      <c r="AA64" s="620"/>
      <c r="AB64" s="620"/>
      <c r="AC64" s="112" t="str">
        <f>IFERROR(VLOOKUP(Z64,【参考】数式用!$A$4:$B$57,2,FALSE),"")</f>
        <v/>
      </c>
      <c r="AD64" s="288"/>
      <c r="AE64" s="294"/>
      <c r="AF64" s="291">
        <f t="shared" si="0"/>
        <v>0</v>
      </c>
      <c r="AG64" s="519"/>
      <c r="AP64" s="102" t="e">
        <f>IF($L$16="", "", VLOOKUP(Z64,【参考】数式用!$A$2:$O$57,14,FALSE))</f>
        <v>#N/A</v>
      </c>
      <c r="AQ64" s="27" t="e">
        <f>VLOOKUP(Z64,【参考】数式用!$A$2:$O$57,15,FALSE)</f>
        <v>#N/A</v>
      </c>
    </row>
    <row r="65" spans="1:43" ht="49.9" customHeight="1">
      <c r="A65" s="50">
        <f t="shared" si="1"/>
        <v>31</v>
      </c>
      <c r="B65" s="687"/>
      <c r="C65" s="688"/>
      <c r="D65" s="688"/>
      <c r="E65" s="688"/>
      <c r="F65" s="688"/>
      <c r="G65" s="688"/>
      <c r="H65" s="688"/>
      <c r="I65" s="688"/>
      <c r="J65" s="688"/>
      <c r="K65" s="688"/>
      <c r="L65" s="686"/>
      <c r="M65" s="686"/>
      <c r="N65" s="686"/>
      <c r="O65" s="686"/>
      <c r="P65" s="686"/>
      <c r="Q65" s="616"/>
      <c r="R65" s="616"/>
      <c r="S65" s="616"/>
      <c r="T65" s="616"/>
      <c r="U65" s="616"/>
      <c r="V65" s="290"/>
      <c r="W65" s="620"/>
      <c r="X65" s="620"/>
      <c r="Y65" s="620"/>
      <c r="Z65" s="620"/>
      <c r="AA65" s="620"/>
      <c r="AB65" s="620"/>
      <c r="AC65" s="112" t="str">
        <f>IFERROR(VLOOKUP(Z65,【参考】数式用!$A$4:$B$57,2,FALSE),"")</f>
        <v/>
      </c>
      <c r="AD65" s="288"/>
      <c r="AE65" s="294"/>
      <c r="AF65" s="291">
        <f t="shared" si="0"/>
        <v>0</v>
      </c>
      <c r="AG65" s="519"/>
      <c r="AP65" s="102" t="e">
        <f>IF($L$16="", "", VLOOKUP(Z65,【参考】数式用!$A$2:$O$57,14,FALSE))</f>
        <v>#N/A</v>
      </c>
      <c r="AQ65" s="27" t="e">
        <f>VLOOKUP(Z65,【参考】数式用!$A$2:$O$57,15,FALSE)</f>
        <v>#N/A</v>
      </c>
    </row>
    <row r="66" spans="1:43" ht="49.9" customHeight="1">
      <c r="A66" s="50">
        <f t="shared" si="1"/>
        <v>32</v>
      </c>
      <c r="B66" s="687"/>
      <c r="C66" s="688"/>
      <c r="D66" s="688"/>
      <c r="E66" s="688"/>
      <c r="F66" s="688"/>
      <c r="G66" s="688"/>
      <c r="H66" s="688"/>
      <c r="I66" s="688"/>
      <c r="J66" s="688"/>
      <c r="K66" s="688"/>
      <c r="L66" s="686"/>
      <c r="M66" s="686"/>
      <c r="N66" s="686"/>
      <c r="O66" s="686"/>
      <c r="P66" s="686"/>
      <c r="Q66" s="616"/>
      <c r="R66" s="616"/>
      <c r="S66" s="616"/>
      <c r="T66" s="616"/>
      <c r="U66" s="616"/>
      <c r="V66" s="290"/>
      <c r="W66" s="620"/>
      <c r="X66" s="620"/>
      <c r="Y66" s="620"/>
      <c r="Z66" s="620"/>
      <c r="AA66" s="620"/>
      <c r="AB66" s="620"/>
      <c r="AC66" s="112" t="str">
        <f>IFERROR(VLOOKUP(Z66,【参考】数式用!$A$4:$B$57,2,FALSE),"")</f>
        <v/>
      </c>
      <c r="AD66" s="288"/>
      <c r="AE66" s="294"/>
      <c r="AF66" s="291">
        <f t="shared" si="0"/>
        <v>0</v>
      </c>
      <c r="AG66" s="519"/>
      <c r="AP66" s="102" t="e">
        <f>IF($L$16="", "", VLOOKUP(Z66,【参考】数式用!$A$2:$O$57,14,FALSE))</f>
        <v>#N/A</v>
      </c>
      <c r="AQ66" s="27" t="e">
        <f>VLOOKUP(Z66,【参考】数式用!$A$2:$O$57,15,FALSE)</f>
        <v>#N/A</v>
      </c>
    </row>
    <row r="67" spans="1:43" ht="49.9" customHeight="1">
      <c r="A67" s="50">
        <f t="shared" si="1"/>
        <v>33</v>
      </c>
      <c r="B67" s="687"/>
      <c r="C67" s="688"/>
      <c r="D67" s="688"/>
      <c r="E67" s="688"/>
      <c r="F67" s="688"/>
      <c r="G67" s="688"/>
      <c r="H67" s="688"/>
      <c r="I67" s="688"/>
      <c r="J67" s="688"/>
      <c r="K67" s="688"/>
      <c r="L67" s="686"/>
      <c r="M67" s="686"/>
      <c r="N67" s="686"/>
      <c r="O67" s="686"/>
      <c r="P67" s="686"/>
      <c r="Q67" s="616"/>
      <c r="R67" s="616"/>
      <c r="S67" s="616"/>
      <c r="T67" s="616"/>
      <c r="U67" s="616"/>
      <c r="V67" s="290"/>
      <c r="W67" s="620"/>
      <c r="X67" s="620"/>
      <c r="Y67" s="620"/>
      <c r="Z67" s="620"/>
      <c r="AA67" s="620"/>
      <c r="AB67" s="620"/>
      <c r="AC67" s="112" t="str">
        <f>IFERROR(VLOOKUP(Z67,【参考】数式用!$A$4:$B$57,2,FALSE),"")</f>
        <v/>
      </c>
      <c r="AD67" s="288"/>
      <c r="AE67" s="294"/>
      <c r="AF67" s="291">
        <f t="shared" si="0"/>
        <v>0</v>
      </c>
      <c r="AG67" s="519"/>
      <c r="AP67" s="102" t="e">
        <f>IF($L$16="", "", VLOOKUP(Z67,【参考】数式用!$A$2:$O$57,14,FALSE))</f>
        <v>#N/A</v>
      </c>
      <c r="AQ67" s="27" t="e">
        <f>VLOOKUP(Z67,【参考】数式用!$A$2:$O$57,15,FALSE)</f>
        <v>#N/A</v>
      </c>
    </row>
    <row r="68" spans="1:43" ht="49.9" customHeight="1">
      <c r="A68" s="50">
        <f t="shared" si="1"/>
        <v>34</v>
      </c>
      <c r="B68" s="687"/>
      <c r="C68" s="688"/>
      <c r="D68" s="688"/>
      <c r="E68" s="688"/>
      <c r="F68" s="688"/>
      <c r="G68" s="688"/>
      <c r="H68" s="688"/>
      <c r="I68" s="688"/>
      <c r="J68" s="688"/>
      <c r="K68" s="688"/>
      <c r="L68" s="686"/>
      <c r="M68" s="686"/>
      <c r="N68" s="686"/>
      <c r="O68" s="686"/>
      <c r="P68" s="686"/>
      <c r="Q68" s="616"/>
      <c r="R68" s="616"/>
      <c r="S68" s="616"/>
      <c r="T68" s="616"/>
      <c r="U68" s="616"/>
      <c r="V68" s="290"/>
      <c r="W68" s="620"/>
      <c r="X68" s="620"/>
      <c r="Y68" s="620"/>
      <c r="Z68" s="620"/>
      <c r="AA68" s="620"/>
      <c r="AB68" s="620"/>
      <c r="AC68" s="112" t="str">
        <f>IFERROR(VLOOKUP(Z68,【参考】数式用!$A$4:$B$57,2,FALSE),"")</f>
        <v/>
      </c>
      <c r="AD68" s="288"/>
      <c r="AE68" s="294"/>
      <c r="AF68" s="291">
        <f t="shared" si="0"/>
        <v>0</v>
      </c>
      <c r="AG68" s="519"/>
      <c r="AP68" s="102" t="e">
        <f>IF($L$16="", "", VLOOKUP(Z68,【参考】数式用!$A$2:$O$57,14,FALSE))</f>
        <v>#N/A</v>
      </c>
      <c r="AQ68" s="27" t="e">
        <f>VLOOKUP(Z68,【参考】数式用!$A$2:$O$57,15,FALSE)</f>
        <v>#N/A</v>
      </c>
    </row>
    <row r="69" spans="1:43" ht="49.9" customHeight="1">
      <c r="A69" s="50">
        <f t="shared" si="1"/>
        <v>35</v>
      </c>
      <c r="B69" s="687"/>
      <c r="C69" s="688"/>
      <c r="D69" s="688"/>
      <c r="E69" s="688"/>
      <c r="F69" s="688"/>
      <c r="G69" s="688"/>
      <c r="H69" s="688"/>
      <c r="I69" s="688"/>
      <c r="J69" s="688"/>
      <c r="K69" s="688"/>
      <c r="L69" s="686"/>
      <c r="M69" s="686"/>
      <c r="N69" s="686"/>
      <c r="O69" s="686"/>
      <c r="P69" s="686"/>
      <c r="Q69" s="616"/>
      <c r="R69" s="616"/>
      <c r="S69" s="616"/>
      <c r="T69" s="616"/>
      <c r="U69" s="616"/>
      <c r="V69" s="290"/>
      <c r="W69" s="620"/>
      <c r="X69" s="620"/>
      <c r="Y69" s="620"/>
      <c r="Z69" s="620"/>
      <c r="AA69" s="620"/>
      <c r="AB69" s="620"/>
      <c r="AC69" s="112" t="str">
        <f>IFERROR(VLOOKUP(Z69,【参考】数式用!$A$4:$B$57,2,FALSE),"")</f>
        <v/>
      </c>
      <c r="AD69" s="288"/>
      <c r="AE69" s="294"/>
      <c r="AF69" s="291">
        <f t="shared" si="0"/>
        <v>0</v>
      </c>
      <c r="AG69" s="519"/>
      <c r="AP69" s="102" t="e">
        <f>IF($L$16="", "", VLOOKUP(Z69,【参考】数式用!$A$2:$O$57,14,FALSE))</f>
        <v>#N/A</v>
      </c>
      <c r="AQ69" s="27" t="e">
        <f>VLOOKUP(Z69,【参考】数式用!$A$2:$O$57,15,FALSE)</f>
        <v>#N/A</v>
      </c>
    </row>
    <row r="70" spans="1:43" ht="49.9" customHeight="1">
      <c r="A70" s="50">
        <f t="shared" si="1"/>
        <v>36</v>
      </c>
      <c r="B70" s="687"/>
      <c r="C70" s="688"/>
      <c r="D70" s="688"/>
      <c r="E70" s="688"/>
      <c r="F70" s="688"/>
      <c r="G70" s="688"/>
      <c r="H70" s="688"/>
      <c r="I70" s="688"/>
      <c r="J70" s="688"/>
      <c r="K70" s="688"/>
      <c r="L70" s="686"/>
      <c r="M70" s="686"/>
      <c r="N70" s="686"/>
      <c r="O70" s="686"/>
      <c r="P70" s="686"/>
      <c r="Q70" s="616"/>
      <c r="R70" s="616"/>
      <c r="S70" s="616"/>
      <c r="T70" s="616"/>
      <c r="U70" s="616"/>
      <c r="V70" s="290"/>
      <c r="W70" s="620"/>
      <c r="X70" s="620"/>
      <c r="Y70" s="620"/>
      <c r="Z70" s="620"/>
      <c r="AA70" s="620"/>
      <c r="AB70" s="620"/>
      <c r="AC70" s="112" t="str">
        <f>IFERROR(VLOOKUP(Z70,【参考】数式用!$A$4:$B$57,2,FALSE),"")</f>
        <v/>
      </c>
      <c r="AD70" s="288"/>
      <c r="AE70" s="294"/>
      <c r="AF70" s="291">
        <f t="shared" si="0"/>
        <v>0</v>
      </c>
      <c r="AG70" s="519"/>
      <c r="AP70" s="102" t="e">
        <f>IF($L$16="", "", VLOOKUP(Z70,【参考】数式用!$A$2:$O$57,14,FALSE))</f>
        <v>#N/A</v>
      </c>
      <c r="AQ70" s="27" t="e">
        <f>VLOOKUP(Z70,【参考】数式用!$A$2:$O$57,15,FALSE)</f>
        <v>#N/A</v>
      </c>
    </row>
    <row r="71" spans="1:43" ht="49.9" customHeight="1">
      <c r="A71" s="50">
        <f t="shared" si="1"/>
        <v>37</v>
      </c>
      <c r="B71" s="687"/>
      <c r="C71" s="688"/>
      <c r="D71" s="688"/>
      <c r="E71" s="688"/>
      <c r="F71" s="688"/>
      <c r="G71" s="688"/>
      <c r="H71" s="688"/>
      <c r="I71" s="688"/>
      <c r="J71" s="688"/>
      <c r="K71" s="688"/>
      <c r="L71" s="686"/>
      <c r="M71" s="686"/>
      <c r="N71" s="686"/>
      <c r="O71" s="686"/>
      <c r="P71" s="686"/>
      <c r="Q71" s="616"/>
      <c r="R71" s="616"/>
      <c r="S71" s="616"/>
      <c r="T71" s="616"/>
      <c r="U71" s="616"/>
      <c r="V71" s="290"/>
      <c r="W71" s="620"/>
      <c r="X71" s="620"/>
      <c r="Y71" s="620"/>
      <c r="Z71" s="620"/>
      <c r="AA71" s="620"/>
      <c r="AB71" s="620"/>
      <c r="AC71" s="112" t="str">
        <f>IFERROR(VLOOKUP(Z71,【参考】数式用!$A$4:$B$57,2,FALSE),"")</f>
        <v/>
      </c>
      <c r="AD71" s="288"/>
      <c r="AE71" s="294"/>
      <c r="AF71" s="291">
        <f t="shared" si="0"/>
        <v>0</v>
      </c>
      <c r="AG71" s="519"/>
      <c r="AP71" s="102" t="e">
        <f>IF($L$16="", "", VLOOKUP(Z71,【参考】数式用!$A$2:$O$57,14,FALSE))</f>
        <v>#N/A</v>
      </c>
      <c r="AQ71" s="27" t="e">
        <f>VLOOKUP(Z71,【参考】数式用!$A$2:$O$57,15,FALSE)</f>
        <v>#N/A</v>
      </c>
    </row>
    <row r="72" spans="1:43" ht="49.9" customHeight="1">
      <c r="A72" s="50">
        <f t="shared" si="1"/>
        <v>38</v>
      </c>
      <c r="B72" s="687"/>
      <c r="C72" s="688"/>
      <c r="D72" s="688"/>
      <c r="E72" s="688"/>
      <c r="F72" s="688"/>
      <c r="G72" s="688"/>
      <c r="H72" s="688"/>
      <c r="I72" s="688"/>
      <c r="J72" s="688"/>
      <c r="K72" s="688"/>
      <c r="L72" s="686"/>
      <c r="M72" s="686"/>
      <c r="N72" s="686"/>
      <c r="O72" s="686"/>
      <c r="P72" s="686"/>
      <c r="Q72" s="616"/>
      <c r="R72" s="616"/>
      <c r="S72" s="616"/>
      <c r="T72" s="616"/>
      <c r="U72" s="616"/>
      <c r="V72" s="290"/>
      <c r="W72" s="620"/>
      <c r="X72" s="620"/>
      <c r="Y72" s="620"/>
      <c r="Z72" s="620"/>
      <c r="AA72" s="620"/>
      <c r="AB72" s="620"/>
      <c r="AC72" s="112" t="str">
        <f>IFERROR(VLOOKUP(Z72,【参考】数式用!$A$4:$B$57,2,FALSE),"")</f>
        <v/>
      </c>
      <c r="AD72" s="288"/>
      <c r="AE72" s="294"/>
      <c r="AF72" s="291">
        <f t="shared" si="0"/>
        <v>0</v>
      </c>
      <c r="AG72" s="519"/>
      <c r="AP72" s="102" t="e">
        <f>IF($L$16="", "", VLOOKUP(Z72,【参考】数式用!$A$2:$O$57,14,FALSE))</f>
        <v>#N/A</v>
      </c>
      <c r="AQ72" s="27" t="e">
        <f>VLOOKUP(Z72,【参考】数式用!$A$2:$O$57,15,FALSE)</f>
        <v>#N/A</v>
      </c>
    </row>
    <row r="73" spans="1:43" ht="49.9" customHeight="1">
      <c r="A73" s="50">
        <f t="shared" si="1"/>
        <v>39</v>
      </c>
      <c r="B73" s="687"/>
      <c r="C73" s="688"/>
      <c r="D73" s="688"/>
      <c r="E73" s="688"/>
      <c r="F73" s="688"/>
      <c r="G73" s="688"/>
      <c r="H73" s="688"/>
      <c r="I73" s="688"/>
      <c r="J73" s="688"/>
      <c r="K73" s="688"/>
      <c r="L73" s="686"/>
      <c r="M73" s="686"/>
      <c r="N73" s="686"/>
      <c r="O73" s="686"/>
      <c r="P73" s="686"/>
      <c r="Q73" s="616"/>
      <c r="R73" s="616"/>
      <c r="S73" s="616"/>
      <c r="T73" s="616"/>
      <c r="U73" s="616"/>
      <c r="V73" s="290"/>
      <c r="W73" s="620"/>
      <c r="X73" s="620"/>
      <c r="Y73" s="620"/>
      <c r="Z73" s="620"/>
      <c r="AA73" s="620"/>
      <c r="AB73" s="620"/>
      <c r="AC73" s="112" t="str">
        <f>IFERROR(VLOOKUP(Z73,【参考】数式用!$A$4:$B$57,2,FALSE),"")</f>
        <v/>
      </c>
      <c r="AD73" s="288"/>
      <c r="AE73" s="294"/>
      <c r="AF73" s="291">
        <f t="shared" si="0"/>
        <v>0</v>
      </c>
      <c r="AG73" s="519"/>
      <c r="AP73" s="102" t="e">
        <f>IF($L$16="", "", VLOOKUP(Z73,【参考】数式用!$A$2:$O$57,14,FALSE))</f>
        <v>#N/A</v>
      </c>
      <c r="AQ73" s="27" t="e">
        <f>VLOOKUP(Z73,【参考】数式用!$A$2:$O$57,15,FALSE)</f>
        <v>#N/A</v>
      </c>
    </row>
    <row r="74" spans="1:43" ht="49.9" customHeight="1">
      <c r="A74" s="50">
        <f t="shared" si="1"/>
        <v>40</v>
      </c>
      <c r="B74" s="687"/>
      <c r="C74" s="688"/>
      <c r="D74" s="688"/>
      <c r="E74" s="688"/>
      <c r="F74" s="688"/>
      <c r="G74" s="688"/>
      <c r="H74" s="688"/>
      <c r="I74" s="688"/>
      <c r="J74" s="688"/>
      <c r="K74" s="688"/>
      <c r="L74" s="686"/>
      <c r="M74" s="686"/>
      <c r="N74" s="686"/>
      <c r="O74" s="686"/>
      <c r="P74" s="686"/>
      <c r="Q74" s="616"/>
      <c r="R74" s="616"/>
      <c r="S74" s="616"/>
      <c r="T74" s="616"/>
      <c r="U74" s="616"/>
      <c r="V74" s="290"/>
      <c r="W74" s="620"/>
      <c r="X74" s="620"/>
      <c r="Y74" s="620"/>
      <c r="Z74" s="620"/>
      <c r="AA74" s="620"/>
      <c r="AB74" s="620"/>
      <c r="AC74" s="112" t="str">
        <f>IFERROR(VLOOKUP(Z74,【参考】数式用!$A$4:$B$57,2,FALSE),"")</f>
        <v/>
      </c>
      <c r="AD74" s="288"/>
      <c r="AE74" s="294"/>
      <c r="AF74" s="291">
        <f t="shared" si="0"/>
        <v>0</v>
      </c>
      <c r="AG74" s="519"/>
      <c r="AP74" s="102" t="e">
        <f>IF($L$16="", "", VLOOKUP(Z74,【参考】数式用!$A$2:$O$57,14,FALSE))</f>
        <v>#N/A</v>
      </c>
      <c r="AQ74" s="27" t="e">
        <f>VLOOKUP(Z74,【参考】数式用!$A$2:$O$57,15,FALSE)</f>
        <v>#N/A</v>
      </c>
    </row>
    <row r="75" spans="1:43" ht="49.9" customHeight="1">
      <c r="A75" s="50">
        <f t="shared" si="1"/>
        <v>41</v>
      </c>
      <c r="B75" s="687"/>
      <c r="C75" s="688"/>
      <c r="D75" s="688"/>
      <c r="E75" s="688"/>
      <c r="F75" s="688"/>
      <c r="G75" s="688"/>
      <c r="H75" s="688"/>
      <c r="I75" s="688"/>
      <c r="J75" s="688"/>
      <c r="K75" s="688"/>
      <c r="L75" s="686"/>
      <c r="M75" s="686"/>
      <c r="N75" s="686"/>
      <c r="O75" s="686"/>
      <c r="P75" s="686"/>
      <c r="Q75" s="616"/>
      <c r="R75" s="616"/>
      <c r="S75" s="616"/>
      <c r="T75" s="616"/>
      <c r="U75" s="616"/>
      <c r="V75" s="290"/>
      <c r="W75" s="620"/>
      <c r="X75" s="620"/>
      <c r="Y75" s="620"/>
      <c r="Z75" s="620"/>
      <c r="AA75" s="620"/>
      <c r="AB75" s="620"/>
      <c r="AC75" s="112" t="str">
        <f>IFERROR(VLOOKUP(Z75,【参考】数式用!$A$4:$B$57,2,FALSE),"")</f>
        <v/>
      </c>
      <c r="AD75" s="288"/>
      <c r="AE75" s="294"/>
      <c r="AF75" s="291">
        <f t="shared" si="0"/>
        <v>0</v>
      </c>
      <c r="AG75" s="519"/>
      <c r="AP75" s="102" t="e">
        <f>IF($L$16="", "", VLOOKUP(Z75,【参考】数式用!$A$2:$O$57,14,FALSE))</f>
        <v>#N/A</v>
      </c>
      <c r="AQ75" s="27" t="e">
        <f>VLOOKUP(Z75,【参考】数式用!$A$2:$O$57,15,FALSE)</f>
        <v>#N/A</v>
      </c>
    </row>
    <row r="76" spans="1:43" ht="49.9" customHeight="1">
      <c r="A76" s="50">
        <f t="shared" si="1"/>
        <v>42</v>
      </c>
      <c r="B76" s="687"/>
      <c r="C76" s="688"/>
      <c r="D76" s="688"/>
      <c r="E76" s="688"/>
      <c r="F76" s="688"/>
      <c r="G76" s="688"/>
      <c r="H76" s="688"/>
      <c r="I76" s="688"/>
      <c r="J76" s="688"/>
      <c r="K76" s="688"/>
      <c r="L76" s="686"/>
      <c r="M76" s="686"/>
      <c r="N76" s="686"/>
      <c r="O76" s="686"/>
      <c r="P76" s="686"/>
      <c r="Q76" s="616"/>
      <c r="R76" s="616"/>
      <c r="S76" s="616"/>
      <c r="T76" s="616"/>
      <c r="U76" s="616"/>
      <c r="V76" s="290"/>
      <c r="W76" s="620"/>
      <c r="X76" s="620"/>
      <c r="Y76" s="620"/>
      <c r="Z76" s="620"/>
      <c r="AA76" s="620"/>
      <c r="AB76" s="620"/>
      <c r="AC76" s="112" t="str">
        <f>IFERROR(VLOOKUP(Z76,【参考】数式用!$A$4:$B$57,2,FALSE),"")</f>
        <v/>
      </c>
      <c r="AD76" s="288"/>
      <c r="AE76" s="294"/>
      <c r="AF76" s="291">
        <f t="shared" si="0"/>
        <v>0</v>
      </c>
      <c r="AG76" s="519"/>
      <c r="AP76" s="102" t="e">
        <f>IF($L$16="", "", VLOOKUP(Z76,【参考】数式用!$A$2:$O$57,14,FALSE))</f>
        <v>#N/A</v>
      </c>
      <c r="AQ76" s="27" t="e">
        <f>VLOOKUP(Z76,【参考】数式用!$A$2:$O$57,15,FALSE)</f>
        <v>#N/A</v>
      </c>
    </row>
    <row r="77" spans="1:43" ht="49.9" customHeight="1">
      <c r="A77" s="50">
        <f t="shared" si="1"/>
        <v>43</v>
      </c>
      <c r="B77" s="687"/>
      <c r="C77" s="688"/>
      <c r="D77" s="688"/>
      <c r="E77" s="688"/>
      <c r="F77" s="688"/>
      <c r="G77" s="688"/>
      <c r="H77" s="688"/>
      <c r="I77" s="688"/>
      <c r="J77" s="688"/>
      <c r="K77" s="688"/>
      <c r="L77" s="686"/>
      <c r="M77" s="686"/>
      <c r="N77" s="686"/>
      <c r="O77" s="686"/>
      <c r="P77" s="686"/>
      <c r="Q77" s="616"/>
      <c r="R77" s="616"/>
      <c r="S77" s="616"/>
      <c r="T77" s="616"/>
      <c r="U77" s="616"/>
      <c r="V77" s="290"/>
      <c r="W77" s="620"/>
      <c r="X77" s="620"/>
      <c r="Y77" s="620"/>
      <c r="Z77" s="620"/>
      <c r="AA77" s="620"/>
      <c r="AB77" s="620"/>
      <c r="AC77" s="112" t="str">
        <f>IFERROR(VLOOKUP(Z77,【参考】数式用!$A$4:$B$57,2,FALSE),"")</f>
        <v/>
      </c>
      <c r="AD77" s="288"/>
      <c r="AE77" s="294"/>
      <c r="AF77" s="291">
        <f t="shared" si="0"/>
        <v>0</v>
      </c>
      <c r="AG77" s="519"/>
      <c r="AP77" s="102" t="e">
        <f>IF($L$16="", "", VLOOKUP(Z77,【参考】数式用!$A$2:$O$57,14,FALSE))</f>
        <v>#N/A</v>
      </c>
      <c r="AQ77" s="27" t="e">
        <f>VLOOKUP(Z77,【参考】数式用!$A$2:$O$57,15,FALSE)</f>
        <v>#N/A</v>
      </c>
    </row>
    <row r="78" spans="1:43" ht="49.9" customHeight="1">
      <c r="A78" s="50">
        <f t="shared" si="1"/>
        <v>44</v>
      </c>
      <c r="B78" s="687"/>
      <c r="C78" s="688"/>
      <c r="D78" s="688"/>
      <c r="E78" s="688"/>
      <c r="F78" s="688"/>
      <c r="G78" s="688"/>
      <c r="H78" s="688"/>
      <c r="I78" s="688"/>
      <c r="J78" s="688"/>
      <c r="K78" s="688"/>
      <c r="L78" s="686"/>
      <c r="M78" s="686"/>
      <c r="N78" s="686"/>
      <c r="O78" s="686"/>
      <c r="P78" s="686"/>
      <c r="Q78" s="616"/>
      <c r="R78" s="616"/>
      <c r="S78" s="616"/>
      <c r="T78" s="616"/>
      <c r="U78" s="616"/>
      <c r="V78" s="290"/>
      <c r="W78" s="620"/>
      <c r="X78" s="620"/>
      <c r="Y78" s="620"/>
      <c r="Z78" s="620"/>
      <c r="AA78" s="620"/>
      <c r="AB78" s="620"/>
      <c r="AC78" s="112" t="str">
        <f>IFERROR(VLOOKUP(Z78,【参考】数式用!$A$4:$B$57,2,FALSE),"")</f>
        <v/>
      </c>
      <c r="AD78" s="288"/>
      <c r="AE78" s="294"/>
      <c r="AF78" s="291">
        <f t="shared" si="0"/>
        <v>0</v>
      </c>
      <c r="AG78" s="519"/>
      <c r="AP78" s="102" t="e">
        <f>IF($L$16="", "", VLOOKUP(Z78,【参考】数式用!$A$2:$O$57,14,FALSE))</f>
        <v>#N/A</v>
      </c>
      <c r="AQ78" s="27" t="e">
        <f>VLOOKUP(Z78,【参考】数式用!$A$2:$O$57,15,FALSE)</f>
        <v>#N/A</v>
      </c>
    </row>
    <row r="79" spans="1:43" ht="49.9" customHeight="1">
      <c r="A79" s="50">
        <f t="shared" si="1"/>
        <v>45</v>
      </c>
      <c r="B79" s="687"/>
      <c r="C79" s="688"/>
      <c r="D79" s="688"/>
      <c r="E79" s="688"/>
      <c r="F79" s="688"/>
      <c r="G79" s="688"/>
      <c r="H79" s="688"/>
      <c r="I79" s="688"/>
      <c r="J79" s="688"/>
      <c r="K79" s="688"/>
      <c r="L79" s="686"/>
      <c r="M79" s="686"/>
      <c r="N79" s="686"/>
      <c r="O79" s="686"/>
      <c r="P79" s="686"/>
      <c r="Q79" s="616"/>
      <c r="R79" s="616"/>
      <c r="S79" s="616"/>
      <c r="T79" s="616"/>
      <c r="U79" s="616"/>
      <c r="V79" s="290"/>
      <c r="W79" s="620"/>
      <c r="X79" s="620"/>
      <c r="Y79" s="620"/>
      <c r="Z79" s="620"/>
      <c r="AA79" s="620"/>
      <c r="AB79" s="620"/>
      <c r="AC79" s="112" t="str">
        <f>IFERROR(VLOOKUP(Z79,【参考】数式用!$A$4:$B$57,2,FALSE),"")</f>
        <v/>
      </c>
      <c r="AD79" s="288"/>
      <c r="AE79" s="294"/>
      <c r="AF79" s="291">
        <f t="shared" si="0"/>
        <v>0</v>
      </c>
      <c r="AG79" s="519"/>
      <c r="AP79" s="102" t="e">
        <f>IF($L$16="", "", VLOOKUP(Z79,【参考】数式用!$A$2:$O$57,14,FALSE))</f>
        <v>#N/A</v>
      </c>
      <c r="AQ79" s="27" t="e">
        <f>VLOOKUP(Z79,【参考】数式用!$A$2:$O$57,15,FALSE)</f>
        <v>#N/A</v>
      </c>
    </row>
    <row r="80" spans="1:43" ht="49.9" customHeight="1">
      <c r="A80" s="50">
        <f t="shared" si="1"/>
        <v>46</v>
      </c>
      <c r="B80" s="687"/>
      <c r="C80" s="688"/>
      <c r="D80" s="688"/>
      <c r="E80" s="688"/>
      <c r="F80" s="688"/>
      <c r="G80" s="688"/>
      <c r="H80" s="688"/>
      <c r="I80" s="688"/>
      <c r="J80" s="688"/>
      <c r="K80" s="688"/>
      <c r="L80" s="686"/>
      <c r="M80" s="686"/>
      <c r="N80" s="686"/>
      <c r="O80" s="686"/>
      <c r="P80" s="686"/>
      <c r="Q80" s="616"/>
      <c r="R80" s="616"/>
      <c r="S80" s="616"/>
      <c r="T80" s="616"/>
      <c r="U80" s="616"/>
      <c r="V80" s="290"/>
      <c r="W80" s="620"/>
      <c r="X80" s="620"/>
      <c r="Y80" s="620"/>
      <c r="Z80" s="620"/>
      <c r="AA80" s="620"/>
      <c r="AB80" s="620"/>
      <c r="AC80" s="112" t="str">
        <f>IFERROR(VLOOKUP(Z80,【参考】数式用!$A$4:$B$57,2,FALSE),"")</f>
        <v/>
      </c>
      <c r="AD80" s="288"/>
      <c r="AE80" s="294"/>
      <c r="AF80" s="291">
        <f t="shared" si="0"/>
        <v>0</v>
      </c>
      <c r="AG80" s="519"/>
      <c r="AP80" s="102" t="e">
        <f>IF($L$16="", "", VLOOKUP(Z80,【参考】数式用!$A$2:$O$57,14,FALSE))</f>
        <v>#N/A</v>
      </c>
      <c r="AQ80" s="27" t="e">
        <f>VLOOKUP(Z80,【参考】数式用!$A$2:$O$57,15,FALSE)</f>
        <v>#N/A</v>
      </c>
    </row>
    <row r="81" spans="1:43" ht="49.9" customHeight="1">
      <c r="A81" s="50">
        <f t="shared" si="1"/>
        <v>47</v>
      </c>
      <c r="B81" s="687"/>
      <c r="C81" s="688"/>
      <c r="D81" s="688"/>
      <c r="E81" s="688"/>
      <c r="F81" s="688"/>
      <c r="G81" s="688"/>
      <c r="H81" s="688"/>
      <c r="I81" s="688"/>
      <c r="J81" s="688"/>
      <c r="K81" s="688"/>
      <c r="L81" s="686"/>
      <c r="M81" s="686"/>
      <c r="N81" s="686"/>
      <c r="O81" s="686"/>
      <c r="P81" s="686"/>
      <c r="Q81" s="616"/>
      <c r="R81" s="616"/>
      <c r="S81" s="616"/>
      <c r="T81" s="616"/>
      <c r="U81" s="616"/>
      <c r="V81" s="290"/>
      <c r="W81" s="620"/>
      <c r="X81" s="620"/>
      <c r="Y81" s="620"/>
      <c r="Z81" s="620"/>
      <c r="AA81" s="620"/>
      <c r="AB81" s="620"/>
      <c r="AC81" s="112" t="str">
        <f>IFERROR(VLOOKUP(Z81,【参考】数式用!$A$4:$B$57,2,FALSE),"")</f>
        <v/>
      </c>
      <c r="AD81" s="288"/>
      <c r="AE81" s="294"/>
      <c r="AF81" s="291">
        <f t="shared" si="0"/>
        <v>0</v>
      </c>
      <c r="AG81" s="519"/>
      <c r="AP81" s="102" t="e">
        <f>IF($L$16="", "", VLOOKUP(Z81,【参考】数式用!$A$2:$O$57,14,FALSE))</f>
        <v>#N/A</v>
      </c>
      <c r="AQ81" s="27" t="e">
        <f>VLOOKUP(Z81,【参考】数式用!$A$2:$O$57,15,FALSE)</f>
        <v>#N/A</v>
      </c>
    </row>
    <row r="82" spans="1:43" ht="49.9" customHeight="1">
      <c r="A82" s="50">
        <f t="shared" si="1"/>
        <v>48</v>
      </c>
      <c r="B82" s="687"/>
      <c r="C82" s="688"/>
      <c r="D82" s="688"/>
      <c r="E82" s="688"/>
      <c r="F82" s="688"/>
      <c r="G82" s="688"/>
      <c r="H82" s="688"/>
      <c r="I82" s="688"/>
      <c r="J82" s="688"/>
      <c r="K82" s="688"/>
      <c r="L82" s="686"/>
      <c r="M82" s="686"/>
      <c r="N82" s="686"/>
      <c r="O82" s="686"/>
      <c r="P82" s="686"/>
      <c r="Q82" s="616"/>
      <c r="R82" s="616"/>
      <c r="S82" s="616"/>
      <c r="T82" s="616"/>
      <c r="U82" s="616"/>
      <c r="V82" s="290"/>
      <c r="W82" s="620"/>
      <c r="X82" s="620"/>
      <c r="Y82" s="620"/>
      <c r="Z82" s="620"/>
      <c r="AA82" s="620"/>
      <c r="AB82" s="620"/>
      <c r="AC82" s="112" t="str">
        <f>IFERROR(VLOOKUP(Z82,【参考】数式用!$A$4:$B$57,2,FALSE),"")</f>
        <v/>
      </c>
      <c r="AD82" s="288"/>
      <c r="AE82" s="294"/>
      <c r="AF82" s="291">
        <f t="shared" si="0"/>
        <v>0</v>
      </c>
      <c r="AG82" s="519"/>
      <c r="AP82" s="102" t="e">
        <f>IF($L$16="", "", VLOOKUP(Z82,【参考】数式用!$A$2:$O$57,14,FALSE))</f>
        <v>#N/A</v>
      </c>
      <c r="AQ82" s="27" t="e">
        <f>VLOOKUP(Z82,【参考】数式用!$A$2:$O$57,15,FALSE)</f>
        <v>#N/A</v>
      </c>
    </row>
    <row r="83" spans="1:43" ht="49.9" customHeight="1">
      <c r="A83" s="50">
        <f t="shared" si="1"/>
        <v>49</v>
      </c>
      <c r="B83" s="687"/>
      <c r="C83" s="688"/>
      <c r="D83" s="688"/>
      <c r="E83" s="688"/>
      <c r="F83" s="688"/>
      <c r="G83" s="688"/>
      <c r="H83" s="688"/>
      <c r="I83" s="688"/>
      <c r="J83" s="688"/>
      <c r="K83" s="688"/>
      <c r="L83" s="686"/>
      <c r="M83" s="686"/>
      <c r="N83" s="686"/>
      <c r="O83" s="686"/>
      <c r="P83" s="686"/>
      <c r="Q83" s="616"/>
      <c r="R83" s="616"/>
      <c r="S83" s="616"/>
      <c r="T83" s="616"/>
      <c r="U83" s="616"/>
      <c r="V83" s="290"/>
      <c r="W83" s="620"/>
      <c r="X83" s="620"/>
      <c r="Y83" s="620"/>
      <c r="Z83" s="620"/>
      <c r="AA83" s="620"/>
      <c r="AB83" s="620"/>
      <c r="AC83" s="112" t="str">
        <f>IFERROR(VLOOKUP(Z83,【参考】数式用!$A$4:$B$57,2,FALSE),"")</f>
        <v/>
      </c>
      <c r="AD83" s="288"/>
      <c r="AE83" s="294"/>
      <c r="AF83" s="291">
        <f t="shared" si="0"/>
        <v>0</v>
      </c>
      <c r="AG83" s="519"/>
      <c r="AP83" s="102" t="e">
        <f>IF($L$16="", "", VLOOKUP(Z83,【参考】数式用!$A$2:$O$57,14,FALSE))</f>
        <v>#N/A</v>
      </c>
      <c r="AQ83" s="27" t="e">
        <f>VLOOKUP(Z83,【参考】数式用!$A$2:$O$57,15,FALSE)</f>
        <v>#N/A</v>
      </c>
    </row>
    <row r="84" spans="1:43" ht="49.9" customHeight="1">
      <c r="A84" s="50">
        <f t="shared" si="1"/>
        <v>50</v>
      </c>
      <c r="B84" s="687"/>
      <c r="C84" s="688"/>
      <c r="D84" s="688"/>
      <c r="E84" s="688"/>
      <c r="F84" s="688"/>
      <c r="G84" s="688"/>
      <c r="H84" s="688"/>
      <c r="I84" s="688"/>
      <c r="J84" s="688"/>
      <c r="K84" s="688"/>
      <c r="L84" s="686"/>
      <c r="M84" s="686"/>
      <c r="N84" s="686"/>
      <c r="O84" s="686"/>
      <c r="P84" s="686"/>
      <c r="Q84" s="616"/>
      <c r="R84" s="616"/>
      <c r="S84" s="616"/>
      <c r="T84" s="616"/>
      <c r="U84" s="616"/>
      <c r="V84" s="290"/>
      <c r="W84" s="620"/>
      <c r="X84" s="620"/>
      <c r="Y84" s="620"/>
      <c r="Z84" s="620"/>
      <c r="AA84" s="620"/>
      <c r="AB84" s="620"/>
      <c r="AC84" s="112" t="str">
        <f>IFERROR(VLOOKUP(Z84,【参考】数式用!$A$4:$B$57,2,FALSE),"")</f>
        <v/>
      </c>
      <c r="AD84" s="288"/>
      <c r="AE84" s="294"/>
      <c r="AF84" s="291">
        <f t="shared" si="0"/>
        <v>0</v>
      </c>
      <c r="AG84" s="519"/>
      <c r="AP84" s="102" t="e">
        <f>IF($L$16="", "", VLOOKUP(Z84,【参考】数式用!$A$2:$O$57,14,FALSE))</f>
        <v>#N/A</v>
      </c>
      <c r="AQ84" s="27" t="e">
        <f>VLOOKUP(Z84,【参考】数式用!$A$2:$O$57,15,FALSE)</f>
        <v>#N/A</v>
      </c>
    </row>
    <row r="85" spans="1:43" ht="49.9" customHeight="1">
      <c r="A85" s="50">
        <f t="shared" si="1"/>
        <v>51</v>
      </c>
      <c r="B85" s="687"/>
      <c r="C85" s="688"/>
      <c r="D85" s="688"/>
      <c r="E85" s="688"/>
      <c r="F85" s="688"/>
      <c r="G85" s="688"/>
      <c r="H85" s="688"/>
      <c r="I85" s="688"/>
      <c r="J85" s="688"/>
      <c r="K85" s="688"/>
      <c r="L85" s="686"/>
      <c r="M85" s="686"/>
      <c r="N85" s="686"/>
      <c r="O85" s="686"/>
      <c r="P85" s="686"/>
      <c r="Q85" s="616"/>
      <c r="R85" s="616"/>
      <c r="S85" s="616"/>
      <c r="T85" s="616"/>
      <c r="U85" s="616"/>
      <c r="V85" s="290"/>
      <c r="W85" s="620"/>
      <c r="X85" s="620"/>
      <c r="Y85" s="620"/>
      <c r="Z85" s="620"/>
      <c r="AA85" s="620"/>
      <c r="AB85" s="620"/>
      <c r="AC85" s="112" t="str">
        <f>IFERROR(VLOOKUP(Z85,【参考】数式用!$A$4:$B$57,2,FALSE),"")</f>
        <v/>
      </c>
      <c r="AD85" s="288"/>
      <c r="AE85" s="294"/>
      <c r="AF85" s="291">
        <f t="shared" si="0"/>
        <v>0</v>
      </c>
      <c r="AG85" s="519"/>
      <c r="AP85" s="102" t="e">
        <f>IF($L$16="", "", VLOOKUP(Z85,【参考】数式用!$A$2:$O$57,14,FALSE))</f>
        <v>#N/A</v>
      </c>
      <c r="AQ85" s="27" t="e">
        <f>VLOOKUP(Z85,【参考】数式用!$A$2:$O$57,15,FALSE)</f>
        <v>#N/A</v>
      </c>
    </row>
    <row r="86" spans="1:43" ht="49.9" customHeight="1">
      <c r="A86" s="50">
        <f t="shared" si="1"/>
        <v>52</v>
      </c>
      <c r="B86" s="687"/>
      <c r="C86" s="688"/>
      <c r="D86" s="688"/>
      <c r="E86" s="688"/>
      <c r="F86" s="688"/>
      <c r="G86" s="688"/>
      <c r="H86" s="688"/>
      <c r="I86" s="688"/>
      <c r="J86" s="688"/>
      <c r="K86" s="688"/>
      <c r="L86" s="686"/>
      <c r="M86" s="686"/>
      <c r="N86" s="686"/>
      <c r="O86" s="686"/>
      <c r="P86" s="686"/>
      <c r="Q86" s="616"/>
      <c r="R86" s="616"/>
      <c r="S86" s="616"/>
      <c r="T86" s="616"/>
      <c r="U86" s="616"/>
      <c r="V86" s="290"/>
      <c r="W86" s="620"/>
      <c r="X86" s="620"/>
      <c r="Y86" s="620"/>
      <c r="Z86" s="620"/>
      <c r="AA86" s="620"/>
      <c r="AB86" s="620"/>
      <c r="AC86" s="112" t="str">
        <f>IFERROR(VLOOKUP(Z86,【参考】数式用!$A$4:$B$57,2,FALSE),"")</f>
        <v/>
      </c>
      <c r="AD86" s="288"/>
      <c r="AE86" s="294"/>
      <c r="AF86" s="291">
        <f t="shared" si="0"/>
        <v>0</v>
      </c>
      <c r="AG86" s="519"/>
      <c r="AP86" s="102" t="e">
        <f>IF($L$16="", "", VLOOKUP(Z86,【参考】数式用!$A$2:$O$57,14,FALSE))</f>
        <v>#N/A</v>
      </c>
      <c r="AQ86" s="27" t="e">
        <f>VLOOKUP(Z86,【参考】数式用!$A$2:$O$57,15,FALSE)</f>
        <v>#N/A</v>
      </c>
    </row>
    <row r="87" spans="1:43" ht="49.9" customHeight="1">
      <c r="A87" s="50">
        <f t="shared" si="1"/>
        <v>53</v>
      </c>
      <c r="B87" s="687"/>
      <c r="C87" s="688"/>
      <c r="D87" s="688"/>
      <c r="E87" s="688"/>
      <c r="F87" s="688"/>
      <c r="G87" s="688"/>
      <c r="H87" s="688"/>
      <c r="I87" s="688"/>
      <c r="J87" s="688"/>
      <c r="K87" s="688"/>
      <c r="L87" s="686"/>
      <c r="M87" s="686"/>
      <c r="N87" s="686"/>
      <c r="O87" s="686"/>
      <c r="P87" s="686"/>
      <c r="Q87" s="616"/>
      <c r="R87" s="616"/>
      <c r="S87" s="616"/>
      <c r="T87" s="616"/>
      <c r="U87" s="616"/>
      <c r="V87" s="290"/>
      <c r="W87" s="620"/>
      <c r="X87" s="620"/>
      <c r="Y87" s="620"/>
      <c r="Z87" s="620"/>
      <c r="AA87" s="620"/>
      <c r="AB87" s="620"/>
      <c r="AC87" s="112" t="str">
        <f>IFERROR(VLOOKUP(Z87,【参考】数式用!$A$4:$B$57,2,FALSE),"")</f>
        <v/>
      </c>
      <c r="AD87" s="288"/>
      <c r="AE87" s="294"/>
      <c r="AF87" s="291">
        <f t="shared" si="0"/>
        <v>0</v>
      </c>
      <c r="AG87" s="519"/>
      <c r="AP87" s="102" t="e">
        <f>IF($L$16="", "", VLOOKUP(Z87,【参考】数式用!$A$2:$O$57,14,FALSE))</f>
        <v>#N/A</v>
      </c>
      <c r="AQ87" s="27" t="e">
        <f>VLOOKUP(Z87,【参考】数式用!$A$2:$O$57,15,FALSE)</f>
        <v>#N/A</v>
      </c>
    </row>
    <row r="88" spans="1:43" ht="49.9" customHeight="1">
      <c r="A88" s="50">
        <f t="shared" si="1"/>
        <v>54</v>
      </c>
      <c r="B88" s="687"/>
      <c r="C88" s="688"/>
      <c r="D88" s="688"/>
      <c r="E88" s="688"/>
      <c r="F88" s="688"/>
      <c r="G88" s="688"/>
      <c r="H88" s="688"/>
      <c r="I88" s="688"/>
      <c r="J88" s="688"/>
      <c r="K88" s="688"/>
      <c r="L88" s="686"/>
      <c r="M88" s="686"/>
      <c r="N88" s="686"/>
      <c r="O88" s="686"/>
      <c r="P88" s="686"/>
      <c r="Q88" s="616"/>
      <c r="R88" s="616"/>
      <c r="S88" s="616"/>
      <c r="T88" s="616"/>
      <c r="U88" s="616"/>
      <c r="V88" s="290"/>
      <c r="W88" s="620"/>
      <c r="X88" s="620"/>
      <c r="Y88" s="620"/>
      <c r="Z88" s="620"/>
      <c r="AA88" s="620"/>
      <c r="AB88" s="620"/>
      <c r="AC88" s="112" t="str">
        <f>IFERROR(VLOOKUP(Z88,【参考】数式用!$A$4:$B$57,2,FALSE),"")</f>
        <v/>
      </c>
      <c r="AD88" s="288"/>
      <c r="AE88" s="294"/>
      <c r="AF88" s="291">
        <f t="shared" si="0"/>
        <v>0</v>
      </c>
      <c r="AG88" s="519"/>
      <c r="AP88" s="102" t="e">
        <f>IF($L$16="", "", VLOOKUP(Z88,【参考】数式用!$A$2:$O$57,14,FALSE))</f>
        <v>#N/A</v>
      </c>
      <c r="AQ88" s="27" t="e">
        <f>VLOOKUP(Z88,【参考】数式用!$A$2:$O$57,15,FALSE)</f>
        <v>#N/A</v>
      </c>
    </row>
    <row r="89" spans="1:43" ht="49.9" customHeight="1">
      <c r="A89" s="50">
        <f t="shared" si="1"/>
        <v>55</v>
      </c>
      <c r="B89" s="687"/>
      <c r="C89" s="688"/>
      <c r="D89" s="688"/>
      <c r="E89" s="688"/>
      <c r="F89" s="688"/>
      <c r="G89" s="688"/>
      <c r="H89" s="688"/>
      <c r="I89" s="688"/>
      <c r="J89" s="688"/>
      <c r="K89" s="688"/>
      <c r="L89" s="686"/>
      <c r="M89" s="686"/>
      <c r="N89" s="686"/>
      <c r="O89" s="686"/>
      <c r="P89" s="686"/>
      <c r="Q89" s="616"/>
      <c r="R89" s="616"/>
      <c r="S89" s="616"/>
      <c r="T89" s="616"/>
      <c r="U89" s="616"/>
      <c r="V89" s="290"/>
      <c r="W89" s="620"/>
      <c r="X89" s="620"/>
      <c r="Y89" s="620"/>
      <c r="Z89" s="620"/>
      <c r="AA89" s="620"/>
      <c r="AB89" s="620"/>
      <c r="AC89" s="112" t="str">
        <f>IFERROR(VLOOKUP(Z89,【参考】数式用!$A$4:$B$57,2,FALSE),"")</f>
        <v/>
      </c>
      <c r="AD89" s="288"/>
      <c r="AE89" s="294"/>
      <c r="AF89" s="291">
        <f t="shared" si="0"/>
        <v>0</v>
      </c>
      <c r="AG89" s="519"/>
      <c r="AP89" s="102" t="e">
        <f>IF($L$16="", "", VLOOKUP(Z89,【参考】数式用!$A$2:$O$57,14,FALSE))</f>
        <v>#N/A</v>
      </c>
      <c r="AQ89" s="27" t="e">
        <f>VLOOKUP(Z89,【参考】数式用!$A$2:$O$57,15,FALSE)</f>
        <v>#N/A</v>
      </c>
    </row>
    <row r="90" spans="1:43" ht="49.9" customHeight="1">
      <c r="A90" s="50">
        <f t="shared" si="1"/>
        <v>56</v>
      </c>
      <c r="B90" s="687"/>
      <c r="C90" s="688"/>
      <c r="D90" s="688"/>
      <c r="E90" s="688"/>
      <c r="F90" s="688"/>
      <c r="G90" s="688"/>
      <c r="H90" s="688"/>
      <c r="I90" s="688"/>
      <c r="J90" s="688"/>
      <c r="K90" s="688"/>
      <c r="L90" s="686"/>
      <c r="M90" s="686"/>
      <c r="N90" s="686"/>
      <c r="O90" s="686"/>
      <c r="P90" s="686"/>
      <c r="Q90" s="616"/>
      <c r="R90" s="616"/>
      <c r="S90" s="616"/>
      <c r="T90" s="616"/>
      <c r="U90" s="616"/>
      <c r="V90" s="290"/>
      <c r="W90" s="620"/>
      <c r="X90" s="620"/>
      <c r="Y90" s="620"/>
      <c r="Z90" s="620"/>
      <c r="AA90" s="620"/>
      <c r="AB90" s="620"/>
      <c r="AC90" s="112" t="str">
        <f>IFERROR(VLOOKUP(Z90,【参考】数式用!$A$4:$B$57,2,FALSE),"")</f>
        <v/>
      </c>
      <c r="AD90" s="288"/>
      <c r="AE90" s="294"/>
      <c r="AF90" s="291">
        <f t="shared" si="0"/>
        <v>0</v>
      </c>
      <c r="AG90" s="519"/>
      <c r="AP90" s="102" t="e">
        <f>IF($L$16="", "", VLOOKUP(Z90,【参考】数式用!$A$2:$O$57,14,FALSE))</f>
        <v>#N/A</v>
      </c>
      <c r="AQ90" s="27" t="e">
        <f>VLOOKUP(Z90,【参考】数式用!$A$2:$O$57,15,FALSE)</f>
        <v>#N/A</v>
      </c>
    </row>
    <row r="91" spans="1:43" ht="49.9" customHeight="1">
      <c r="A91" s="50">
        <f t="shared" si="1"/>
        <v>57</v>
      </c>
      <c r="B91" s="687"/>
      <c r="C91" s="688"/>
      <c r="D91" s="688"/>
      <c r="E91" s="688"/>
      <c r="F91" s="688"/>
      <c r="G91" s="688"/>
      <c r="H91" s="688"/>
      <c r="I91" s="688"/>
      <c r="J91" s="688"/>
      <c r="K91" s="688"/>
      <c r="L91" s="686"/>
      <c r="M91" s="686"/>
      <c r="N91" s="686"/>
      <c r="O91" s="686"/>
      <c r="P91" s="686"/>
      <c r="Q91" s="616"/>
      <c r="R91" s="616"/>
      <c r="S91" s="616"/>
      <c r="T91" s="616"/>
      <c r="U91" s="616"/>
      <c r="V91" s="290"/>
      <c r="W91" s="620"/>
      <c r="X91" s="620"/>
      <c r="Y91" s="620"/>
      <c r="Z91" s="620"/>
      <c r="AA91" s="620"/>
      <c r="AB91" s="620"/>
      <c r="AC91" s="112" t="str">
        <f>IFERROR(VLOOKUP(Z91,【参考】数式用!$A$4:$B$57,2,FALSE),"")</f>
        <v/>
      </c>
      <c r="AD91" s="288"/>
      <c r="AE91" s="294"/>
      <c r="AF91" s="291">
        <f t="shared" si="0"/>
        <v>0</v>
      </c>
      <c r="AG91" s="519"/>
      <c r="AP91" s="102" t="e">
        <f>IF($L$16="", "", VLOOKUP(Z91,【参考】数式用!$A$2:$O$57,14,FALSE))</f>
        <v>#N/A</v>
      </c>
      <c r="AQ91" s="27" t="e">
        <f>VLOOKUP(Z91,【参考】数式用!$A$2:$O$57,15,FALSE)</f>
        <v>#N/A</v>
      </c>
    </row>
    <row r="92" spans="1:43" ht="49.9" customHeight="1">
      <c r="A92" s="50">
        <f t="shared" si="1"/>
        <v>58</v>
      </c>
      <c r="B92" s="687"/>
      <c r="C92" s="688"/>
      <c r="D92" s="688"/>
      <c r="E92" s="688"/>
      <c r="F92" s="688"/>
      <c r="G92" s="688"/>
      <c r="H92" s="688"/>
      <c r="I92" s="688"/>
      <c r="J92" s="688"/>
      <c r="K92" s="688"/>
      <c r="L92" s="686"/>
      <c r="M92" s="686"/>
      <c r="N92" s="686"/>
      <c r="O92" s="686"/>
      <c r="P92" s="686"/>
      <c r="Q92" s="616"/>
      <c r="R92" s="616"/>
      <c r="S92" s="616"/>
      <c r="T92" s="616"/>
      <c r="U92" s="616"/>
      <c r="V92" s="290"/>
      <c r="W92" s="620"/>
      <c r="X92" s="620"/>
      <c r="Y92" s="620"/>
      <c r="Z92" s="620"/>
      <c r="AA92" s="620"/>
      <c r="AB92" s="620"/>
      <c r="AC92" s="112" t="str">
        <f>IFERROR(VLOOKUP(Z92,【参考】数式用!$A$4:$B$57,2,FALSE),"")</f>
        <v/>
      </c>
      <c r="AD92" s="288"/>
      <c r="AE92" s="294"/>
      <c r="AF92" s="291">
        <f t="shared" si="0"/>
        <v>0</v>
      </c>
      <c r="AG92" s="519"/>
      <c r="AP92" s="102" t="e">
        <f>IF($L$16="", "", VLOOKUP(Z92,【参考】数式用!$A$2:$O$57,14,FALSE))</f>
        <v>#N/A</v>
      </c>
      <c r="AQ92" s="27" t="e">
        <f>VLOOKUP(Z92,【参考】数式用!$A$2:$O$57,15,FALSE)</f>
        <v>#N/A</v>
      </c>
    </row>
    <row r="93" spans="1:43" ht="49.9" customHeight="1">
      <c r="A93" s="50">
        <f t="shared" si="1"/>
        <v>59</v>
      </c>
      <c r="B93" s="687"/>
      <c r="C93" s="688"/>
      <c r="D93" s="688"/>
      <c r="E93" s="688"/>
      <c r="F93" s="688"/>
      <c r="G93" s="688"/>
      <c r="H93" s="688"/>
      <c r="I93" s="688"/>
      <c r="J93" s="688"/>
      <c r="K93" s="688"/>
      <c r="L93" s="686"/>
      <c r="M93" s="686"/>
      <c r="N93" s="686"/>
      <c r="O93" s="686"/>
      <c r="P93" s="686"/>
      <c r="Q93" s="616"/>
      <c r="R93" s="616"/>
      <c r="S93" s="616"/>
      <c r="T93" s="616"/>
      <c r="U93" s="616"/>
      <c r="V93" s="290"/>
      <c r="W93" s="620"/>
      <c r="X93" s="620"/>
      <c r="Y93" s="620"/>
      <c r="Z93" s="620"/>
      <c r="AA93" s="620"/>
      <c r="AB93" s="620"/>
      <c r="AC93" s="112" t="str">
        <f>IFERROR(VLOOKUP(Z93,【参考】数式用!$A$4:$B$57,2,FALSE),"")</f>
        <v/>
      </c>
      <c r="AD93" s="288"/>
      <c r="AE93" s="294"/>
      <c r="AF93" s="291">
        <f t="shared" si="0"/>
        <v>0</v>
      </c>
      <c r="AG93" s="519"/>
      <c r="AP93" s="102" t="e">
        <f>IF($L$16="", "", VLOOKUP(Z93,【参考】数式用!$A$2:$O$57,14,FALSE))</f>
        <v>#N/A</v>
      </c>
      <c r="AQ93" s="27" t="e">
        <f>VLOOKUP(Z93,【参考】数式用!$A$2:$O$57,15,FALSE)</f>
        <v>#N/A</v>
      </c>
    </row>
    <row r="94" spans="1:43" ht="49.9" customHeight="1">
      <c r="A94" s="50">
        <f t="shared" si="1"/>
        <v>60</v>
      </c>
      <c r="B94" s="687"/>
      <c r="C94" s="688"/>
      <c r="D94" s="688"/>
      <c r="E94" s="688"/>
      <c r="F94" s="688"/>
      <c r="G94" s="688"/>
      <c r="H94" s="688"/>
      <c r="I94" s="688"/>
      <c r="J94" s="688"/>
      <c r="K94" s="688"/>
      <c r="L94" s="686"/>
      <c r="M94" s="686"/>
      <c r="N94" s="686"/>
      <c r="O94" s="686"/>
      <c r="P94" s="686"/>
      <c r="Q94" s="616"/>
      <c r="R94" s="616"/>
      <c r="S94" s="616"/>
      <c r="T94" s="616"/>
      <c r="U94" s="616"/>
      <c r="V94" s="290"/>
      <c r="W94" s="620"/>
      <c r="X94" s="620"/>
      <c r="Y94" s="620"/>
      <c r="Z94" s="620"/>
      <c r="AA94" s="620"/>
      <c r="AB94" s="620"/>
      <c r="AC94" s="112" t="str">
        <f>IFERROR(VLOOKUP(Z94,【参考】数式用!$A$4:$B$57,2,FALSE),"")</f>
        <v/>
      </c>
      <c r="AD94" s="288"/>
      <c r="AE94" s="294"/>
      <c r="AF94" s="291">
        <f t="shared" si="0"/>
        <v>0</v>
      </c>
      <c r="AG94" s="519"/>
      <c r="AP94" s="102" t="e">
        <f>IF($L$16="", "", VLOOKUP(Z94,【参考】数式用!$A$2:$O$57,14,FALSE))</f>
        <v>#N/A</v>
      </c>
      <c r="AQ94" s="27" t="e">
        <f>VLOOKUP(Z94,【参考】数式用!$A$2:$O$57,15,FALSE)</f>
        <v>#N/A</v>
      </c>
    </row>
    <row r="95" spans="1:43" ht="49.9" customHeight="1">
      <c r="A95" s="50">
        <f t="shared" si="1"/>
        <v>61</v>
      </c>
      <c r="B95" s="687"/>
      <c r="C95" s="688"/>
      <c r="D95" s="688"/>
      <c r="E95" s="688"/>
      <c r="F95" s="688"/>
      <c r="G95" s="688"/>
      <c r="H95" s="688"/>
      <c r="I95" s="688"/>
      <c r="J95" s="688"/>
      <c r="K95" s="688"/>
      <c r="L95" s="686"/>
      <c r="M95" s="686"/>
      <c r="N95" s="686"/>
      <c r="O95" s="686"/>
      <c r="P95" s="686"/>
      <c r="Q95" s="616"/>
      <c r="R95" s="616"/>
      <c r="S95" s="616"/>
      <c r="T95" s="616"/>
      <c r="U95" s="616"/>
      <c r="V95" s="290"/>
      <c r="W95" s="620"/>
      <c r="X95" s="620"/>
      <c r="Y95" s="620"/>
      <c r="Z95" s="620"/>
      <c r="AA95" s="620"/>
      <c r="AB95" s="620"/>
      <c r="AC95" s="112" t="str">
        <f>IFERROR(VLOOKUP(Z95,【参考】数式用!$A$4:$B$57,2,FALSE),"")</f>
        <v/>
      </c>
      <c r="AD95" s="288"/>
      <c r="AE95" s="294"/>
      <c r="AF95" s="291">
        <f t="shared" si="0"/>
        <v>0</v>
      </c>
      <c r="AG95" s="519"/>
      <c r="AP95" s="102" t="e">
        <f>IF($L$16="", "", VLOOKUP(Z95,【参考】数式用!$A$2:$O$57,14,FALSE))</f>
        <v>#N/A</v>
      </c>
      <c r="AQ95" s="27" t="e">
        <f>VLOOKUP(Z95,【参考】数式用!$A$2:$O$57,15,FALSE)</f>
        <v>#N/A</v>
      </c>
    </row>
    <row r="96" spans="1:43" ht="49.9" customHeight="1">
      <c r="A96" s="50">
        <f t="shared" si="1"/>
        <v>62</v>
      </c>
      <c r="B96" s="687"/>
      <c r="C96" s="688"/>
      <c r="D96" s="688"/>
      <c r="E96" s="688"/>
      <c r="F96" s="688"/>
      <c r="G96" s="688"/>
      <c r="H96" s="688"/>
      <c r="I96" s="688"/>
      <c r="J96" s="688"/>
      <c r="K96" s="688"/>
      <c r="L96" s="686"/>
      <c r="M96" s="686"/>
      <c r="N96" s="686"/>
      <c r="O96" s="686"/>
      <c r="P96" s="686"/>
      <c r="Q96" s="616"/>
      <c r="R96" s="616"/>
      <c r="S96" s="616"/>
      <c r="T96" s="616"/>
      <c r="U96" s="616"/>
      <c r="V96" s="290"/>
      <c r="W96" s="620"/>
      <c r="X96" s="620"/>
      <c r="Y96" s="620"/>
      <c r="Z96" s="620"/>
      <c r="AA96" s="620"/>
      <c r="AB96" s="620"/>
      <c r="AC96" s="112" t="str">
        <f>IFERROR(VLOOKUP(Z96,【参考】数式用!$A$4:$B$57,2,FALSE),"")</f>
        <v/>
      </c>
      <c r="AD96" s="288"/>
      <c r="AE96" s="294"/>
      <c r="AF96" s="291">
        <f t="shared" si="0"/>
        <v>0</v>
      </c>
      <c r="AG96" s="519"/>
      <c r="AP96" s="102" t="e">
        <f>IF($L$16="", "", VLOOKUP(Z96,【参考】数式用!$A$2:$O$57,14,FALSE))</f>
        <v>#N/A</v>
      </c>
      <c r="AQ96" s="27" t="e">
        <f>VLOOKUP(Z96,【参考】数式用!$A$2:$O$57,15,FALSE)</f>
        <v>#N/A</v>
      </c>
    </row>
    <row r="97" spans="1:43" ht="49.9" customHeight="1">
      <c r="A97" s="50">
        <f t="shared" si="1"/>
        <v>63</v>
      </c>
      <c r="B97" s="687"/>
      <c r="C97" s="688"/>
      <c r="D97" s="688"/>
      <c r="E97" s="688"/>
      <c r="F97" s="688"/>
      <c r="G97" s="688"/>
      <c r="H97" s="688"/>
      <c r="I97" s="688"/>
      <c r="J97" s="688"/>
      <c r="K97" s="688"/>
      <c r="L97" s="686"/>
      <c r="M97" s="686"/>
      <c r="N97" s="686"/>
      <c r="O97" s="686"/>
      <c r="P97" s="686"/>
      <c r="Q97" s="616"/>
      <c r="R97" s="616"/>
      <c r="S97" s="616"/>
      <c r="T97" s="616"/>
      <c r="U97" s="616"/>
      <c r="V97" s="290"/>
      <c r="W97" s="620"/>
      <c r="X97" s="620"/>
      <c r="Y97" s="620"/>
      <c r="Z97" s="620"/>
      <c r="AA97" s="620"/>
      <c r="AB97" s="620"/>
      <c r="AC97" s="112" t="str">
        <f>IFERROR(VLOOKUP(Z97,【参考】数式用!$A$4:$B$57,2,FALSE),"")</f>
        <v/>
      </c>
      <c r="AD97" s="288"/>
      <c r="AE97" s="294"/>
      <c r="AF97" s="291">
        <f t="shared" si="0"/>
        <v>0</v>
      </c>
      <c r="AG97" s="519"/>
      <c r="AP97" s="102" t="e">
        <f>IF($L$16="", "", VLOOKUP(Z97,【参考】数式用!$A$2:$O$57,14,FALSE))</f>
        <v>#N/A</v>
      </c>
      <c r="AQ97" s="27" t="e">
        <f>VLOOKUP(Z97,【参考】数式用!$A$2:$O$57,15,FALSE)</f>
        <v>#N/A</v>
      </c>
    </row>
    <row r="98" spans="1:43" ht="49.9" customHeight="1">
      <c r="A98" s="50">
        <f t="shared" si="1"/>
        <v>64</v>
      </c>
      <c r="B98" s="687"/>
      <c r="C98" s="688"/>
      <c r="D98" s="688"/>
      <c r="E98" s="688"/>
      <c r="F98" s="688"/>
      <c r="G98" s="688"/>
      <c r="H98" s="688"/>
      <c r="I98" s="688"/>
      <c r="J98" s="688"/>
      <c r="K98" s="688"/>
      <c r="L98" s="686"/>
      <c r="M98" s="686"/>
      <c r="N98" s="686"/>
      <c r="O98" s="686"/>
      <c r="P98" s="686"/>
      <c r="Q98" s="616"/>
      <c r="R98" s="616"/>
      <c r="S98" s="616"/>
      <c r="T98" s="616"/>
      <c r="U98" s="616"/>
      <c r="V98" s="290"/>
      <c r="W98" s="620"/>
      <c r="X98" s="620"/>
      <c r="Y98" s="620"/>
      <c r="Z98" s="620"/>
      <c r="AA98" s="620"/>
      <c r="AB98" s="620"/>
      <c r="AC98" s="112" t="str">
        <f>IFERROR(VLOOKUP(Z98,【参考】数式用!$A$4:$B$57,2,FALSE),"")</f>
        <v/>
      </c>
      <c r="AD98" s="288"/>
      <c r="AE98" s="294"/>
      <c r="AF98" s="291">
        <f t="shared" si="0"/>
        <v>0</v>
      </c>
      <c r="AG98" s="519"/>
      <c r="AP98" s="102" t="e">
        <f>IF($L$16="", "", VLOOKUP(Z98,【参考】数式用!$A$2:$O$57,14,FALSE))</f>
        <v>#N/A</v>
      </c>
      <c r="AQ98" s="27" t="e">
        <f>VLOOKUP(Z98,【参考】数式用!$A$2:$O$57,15,FALSE)</f>
        <v>#N/A</v>
      </c>
    </row>
    <row r="99" spans="1:43" ht="49.9" customHeight="1">
      <c r="A99" s="50">
        <f t="shared" si="1"/>
        <v>65</v>
      </c>
      <c r="B99" s="687"/>
      <c r="C99" s="688"/>
      <c r="D99" s="688"/>
      <c r="E99" s="688"/>
      <c r="F99" s="688"/>
      <c r="G99" s="688"/>
      <c r="H99" s="688"/>
      <c r="I99" s="688"/>
      <c r="J99" s="688"/>
      <c r="K99" s="688"/>
      <c r="L99" s="686"/>
      <c r="M99" s="686"/>
      <c r="N99" s="686"/>
      <c r="O99" s="686"/>
      <c r="P99" s="686"/>
      <c r="Q99" s="616"/>
      <c r="R99" s="616"/>
      <c r="S99" s="616"/>
      <c r="T99" s="616"/>
      <c r="U99" s="616"/>
      <c r="V99" s="290"/>
      <c r="W99" s="620"/>
      <c r="X99" s="620"/>
      <c r="Y99" s="620"/>
      <c r="Z99" s="620"/>
      <c r="AA99" s="620"/>
      <c r="AB99" s="620"/>
      <c r="AC99" s="112" t="str">
        <f>IFERROR(VLOOKUP(Z99,【参考】数式用!$A$4:$B$57,2,FALSE),"")</f>
        <v/>
      </c>
      <c r="AD99" s="288"/>
      <c r="AE99" s="294"/>
      <c r="AF99" s="291">
        <f t="shared" si="0"/>
        <v>0</v>
      </c>
      <c r="AG99" s="519"/>
      <c r="AP99" s="102" t="e">
        <f>IF($L$16="", "", VLOOKUP(Z99,【参考】数式用!$A$2:$O$57,14,FALSE))</f>
        <v>#N/A</v>
      </c>
      <c r="AQ99" s="27" t="e">
        <f>VLOOKUP(Z99,【参考】数式用!$A$2:$O$57,15,FALSE)</f>
        <v>#N/A</v>
      </c>
    </row>
    <row r="100" spans="1:43" ht="49.9" customHeight="1">
      <c r="A100" s="50">
        <f t="shared" si="1"/>
        <v>66</v>
      </c>
      <c r="B100" s="687"/>
      <c r="C100" s="688"/>
      <c r="D100" s="688"/>
      <c r="E100" s="688"/>
      <c r="F100" s="688"/>
      <c r="G100" s="688"/>
      <c r="H100" s="688"/>
      <c r="I100" s="688"/>
      <c r="J100" s="688"/>
      <c r="K100" s="688"/>
      <c r="L100" s="686"/>
      <c r="M100" s="686"/>
      <c r="N100" s="686"/>
      <c r="O100" s="686"/>
      <c r="P100" s="686"/>
      <c r="Q100" s="616"/>
      <c r="R100" s="616"/>
      <c r="S100" s="616"/>
      <c r="T100" s="616"/>
      <c r="U100" s="616"/>
      <c r="V100" s="290"/>
      <c r="W100" s="620"/>
      <c r="X100" s="620"/>
      <c r="Y100" s="620"/>
      <c r="Z100" s="620"/>
      <c r="AA100" s="620"/>
      <c r="AB100" s="620"/>
      <c r="AC100" s="112" t="str">
        <f>IFERROR(VLOOKUP(Z100,【参考】数式用!$A$4:$B$57,2,FALSE),"")</f>
        <v/>
      </c>
      <c r="AD100" s="288"/>
      <c r="AE100" s="294"/>
      <c r="AF100" s="291">
        <f t="shared" si="0"/>
        <v>0</v>
      </c>
      <c r="AG100" s="519"/>
      <c r="AP100" s="102" t="e">
        <f>IF($L$16="", "", VLOOKUP(Z100,【参考】数式用!$A$2:$O$57,14,FALSE))</f>
        <v>#N/A</v>
      </c>
      <c r="AQ100" s="27" t="e">
        <f>VLOOKUP(Z100,【参考】数式用!$A$2:$O$57,15,FALSE)</f>
        <v>#N/A</v>
      </c>
    </row>
    <row r="101" spans="1:43" ht="49.9" customHeight="1">
      <c r="A101" s="50">
        <f t="shared" ref="A101:A135" si="3">A100+1</f>
        <v>67</v>
      </c>
      <c r="B101" s="687"/>
      <c r="C101" s="688"/>
      <c r="D101" s="688"/>
      <c r="E101" s="688"/>
      <c r="F101" s="688"/>
      <c r="G101" s="688"/>
      <c r="H101" s="688"/>
      <c r="I101" s="688"/>
      <c r="J101" s="688"/>
      <c r="K101" s="688"/>
      <c r="L101" s="686"/>
      <c r="M101" s="686"/>
      <c r="N101" s="686"/>
      <c r="O101" s="686"/>
      <c r="P101" s="686"/>
      <c r="Q101" s="616"/>
      <c r="R101" s="616"/>
      <c r="S101" s="616"/>
      <c r="T101" s="616"/>
      <c r="U101" s="616"/>
      <c r="V101" s="290"/>
      <c r="W101" s="620"/>
      <c r="X101" s="620"/>
      <c r="Y101" s="620"/>
      <c r="Z101" s="620"/>
      <c r="AA101" s="620"/>
      <c r="AB101" s="620"/>
      <c r="AC101" s="112" t="str">
        <f>IFERROR(VLOOKUP(Z101,【参考】数式用!$A$4:$B$57,2,FALSE),"")</f>
        <v/>
      </c>
      <c r="AD101" s="288"/>
      <c r="AE101" s="294"/>
      <c r="AF101" s="291">
        <f t="shared" ref="AF101:AF135" si="4">AD101-AE101</f>
        <v>0</v>
      </c>
      <c r="AG101" s="519"/>
      <c r="AP101" s="102" t="e">
        <f>IF($L$16="", "", VLOOKUP(Z101,【参考】数式用!$A$2:$O$57,14,FALSE))</f>
        <v>#N/A</v>
      </c>
      <c r="AQ101" s="27" t="e">
        <f>VLOOKUP(Z101,【参考】数式用!$A$2:$O$57,15,FALSE)</f>
        <v>#N/A</v>
      </c>
    </row>
    <row r="102" spans="1:43" ht="49.9" customHeight="1">
      <c r="A102" s="50">
        <f t="shared" si="3"/>
        <v>68</v>
      </c>
      <c r="B102" s="687"/>
      <c r="C102" s="688"/>
      <c r="D102" s="688"/>
      <c r="E102" s="688"/>
      <c r="F102" s="688"/>
      <c r="G102" s="688"/>
      <c r="H102" s="688"/>
      <c r="I102" s="688"/>
      <c r="J102" s="688"/>
      <c r="K102" s="688"/>
      <c r="L102" s="686"/>
      <c r="M102" s="686"/>
      <c r="N102" s="686"/>
      <c r="O102" s="686"/>
      <c r="P102" s="686"/>
      <c r="Q102" s="616"/>
      <c r="R102" s="616"/>
      <c r="S102" s="616"/>
      <c r="T102" s="616"/>
      <c r="U102" s="616"/>
      <c r="V102" s="290"/>
      <c r="W102" s="620"/>
      <c r="X102" s="620"/>
      <c r="Y102" s="620"/>
      <c r="Z102" s="620"/>
      <c r="AA102" s="620"/>
      <c r="AB102" s="620"/>
      <c r="AC102" s="112" t="str">
        <f>IFERROR(VLOOKUP(Z102,【参考】数式用!$A$4:$B$57,2,FALSE),"")</f>
        <v/>
      </c>
      <c r="AD102" s="288"/>
      <c r="AE102" s="294"/>
      <c r="AF102" s="291">
        <f t="shared" si="4"/>
        <v>0</v>
      </c>
      <c r="AG102" s="519"/>
      <c r="AP102" s="102" t="e">
        <f>IF($L$16="", "", VLOOKUP(Z102,【参考】数式用!$A$2:$O$57,14,FALSE))</f>
        <v>#N/A</v>
      </c>
      <c r="AQ102" s="27" t="e">
        <f>VLOOKUP(Z102,【参考】数式用!$A$2:$O$57,15,FALSE)</f>
        <v>#N/A</v>
      </c>
    </row>
    <row r="103" spans="1:43" ht="49.9" customHeight="1">
      <c r="A103" s="50">
        <f t="shared" si="3"/>
        <v>69</v>
      </c>
      <c r="B103" s="687"/>
      <c r="C103" s="688"/>
      <c r="D103" s="688"/>
      <c r="E103" s="688"/>
      <c r="F103" s="688"/>
      <c r="G103" s="688"/>
      <c r="H103" s="688"/>
      <c r="I103" s="688"/>
      <c r="J103" s="688"/>
      <c r="K103" s="688"/>
      <c r="L103" s="686"/>
      <c r="M103" s="686"/>
      <c r="N103" s="686"/>
      <c r="O103" s="686"/>
      <c r="P103" s="686"/>
      <c r="Q103" s="616"/>
      <c r="R103" s="616"/>
      <c r="S103" s="616"/>
      <c r="T103" s="616"/>
      <c r="U103" s="616"/>
      <c r="V103" s="290"/>
      <c r="W103" s="620"/>
      <c r="X103" s="620"/>
      <c r="Y103" s="620"/>
      <c r="Z103" s="620"/>
      <c r="AA103" s="620"/>
      <c r="AB103" s="620"/>
      <c r="AC103" s="112" t="str">
        <f>IFERROR(VLOOKUP(Z103,【参考】数式用!$A$4:$B$57,2,FALSE),"")</f>
        <v/>
      </c>
      <c r="AD103" s="288"/>
      <c r="AE103" s="294"/>
      <c r="AF103" s="291">
        <f t="shared" si="4"/>
        <v>0</v>
      </c>
      <c r="AG103" s="519"/>
      <c r="AP103" s="102" t="e">
        <f>IF($L$16="", "", VLOOKUP(Z103,【参考】数式用!$A$2:$O$57,14,FALSE))</f>
        <v>#N/A</v>
      </c>
      <c r="AQ103" s="27" t="e">
        <f>VLOOKUP(Z103,【参考】数式用!$A$2:$O$57,15,FALSE)</f>
        <v>#N/A</v>
      </c>
    </row>
    <row r="104" spans="1:43" ht="49.9" customHeight="1">
      <c r="A104" s="50">
        <f t="shared" si="3"/>
        <v>70</v>
      </c>
      <c r="B104" s="687"/>
      <c r="C104" s="688"/>
      <c r="D104" s="688"/>
      <c r="E104" s="688"/>
      <c r="F104" s="688"/>
      <c r="G104" s="688"/>
      <c r="H104" s="688"/>
      <c r="I104" s="688"/>
      <c r="J104" s="688"/>
      <c r="K104" s="688"/>
      <c r="L104" s="686"/>
      <c r="M104" s="686"/>
      <c r="N104" s="686"/>
      <c r="O104" s="686"/>
      <c r="P104" s="686"/>
      <c r="Q104" s="616"/>
      <c r="R104" s="616"/>
      <c r="S104" s="616"/>
      <c r="T104" s="616"/>
      <c r="U104" s="616"/>
      <c r="V104" s="290"/>
      <c r="W104" s="620"/>
      <c r="X104" s="620"/>
      <c r="Y104" s="620"/>
      <c r="Z104" s="620"/>
      <c r="AA104" s="620"/>
      <c r="AB104" s="620"/>
      <c r="AC104" s="112" t="str">
        <f>IFERROR(VLOOKUP(Z104,【参考】数式用!$A$4:$B$57,2,FALSE),"")</f>
        <v/>
      </c>
      <c r="AD104" s="288"/>
      <c r="AE104" s="294"/>
      <c r="AF104" s="291">
        <f t="shared" si="4"/>
        <v>0</v>
      </c>
      <c r="AG104" s="519"/>
      <c r="AP104" s="102" t="e">
        <f>IF($L$16="", "", VLOOKUP(Z104,【参考】数式用!$A$2:$O$57,14,FALSE))</f>
        <v>#N/A</v>
      </c>
      <c r="AQ104" s="27" t="e">
        <f>VLOOKUP(Z104,【参考】数式用!$A$2:$O$57,15,FALSE)</f>
        <v>#N/A</v>
      </c>
    </row>
    <row r="105" spans="1:43" ht="49.9" customHeight="1">
      <c r="A105" s="50">
        <f t="shared" si="3"/>
        <v>71</v>
      </c>
      <c r="B105" s="687"/>
      <c r="C105" s="688"/>
      <c r="D105" s="688"/>
      <c r="E105" s="688"/>
      <c r="F105" s="688"/>
      <c r="G105" s="688"/>
      <c r="H105" s="688"/>
      <c r="I105" s="688"/>
      <c r="J105" s="688"/>
      <c r="K105" s="688"/>
      <c r="L105" s="686"/>
      <c r="M105" s="686"/>
      <c r="N105" s="686"/>
      <c r="O105" s="686"/>
      <c r="P105" s="686"/>
      <c r="Q105" s="616"/>
      <c r="R105" s="616"/>
      <c r="S105" s="616"/>
      <c r="T105" s="616"/>
      <c r="U105" s="616"/>
      <c r="V105" s="290"/>
      <c r="W105" s="620"/>
      <c r="X105" s="620"/>
      <c r="Y105" s="620"/>
      <c r="Z105" s="620"/>
      <c r="AA105" s="620"/>
      <c r="AB105" s="620"/>
      <c r="AC105" s="112" t="str">
        <f>IFERROR(VLOOKUP(Z105,【参考】数式用!$A$4:$B$57,2,FALSE),"")</f>
        <v/>
      </c>
      <c r="AD105" s="288"/>
      <c r="AE105" s="294"/>
      <c r="AF105" s="291">
        <f t="shared" si="4"/>
        <v>0</v>
      </c>
      <c r="AG105" s="519"/>
      <c r="AP105" s="102" t="e">
        <f>IF($L$16="", "", VLOOKUP(Z105,【参考】数式用!$A$2:$O$57,14,FALSE))</f>
        <v>#N/A</v>
      </c>
      <c r="AQ105" s="27" t="e">
        <f>VLOOKUP(Z105,【参考】数式用!$A$2:$O$57,15,FALSE)</f>
        <v>#N/A</v>
      </c>
    </row>
    <row r="106" spans="1:43" ht="49.9" customHeight="1">
      <c r="A106" s="50">
        <f t="shared" si="3"/>
        <v>72</v>
      </c>
      <c r="B106" s="687"/>
      <c r="C106" s="688"/>
      <c r="D106" s="688"/>
      <c r="E106" s="688"/>
      <c r="F106" s="688"/>
      <c r="G106" s="688"/>
      <c r="H106" s="688"/>
      <c r="I106" s="688"/>
      <c r="J106" s="688"/>
      <c r="K106" s="688"/>
      <c r="L106" s="686"/>
      <c r="M106" s="686"/>
      <c r="N106" s="686"/>
      <c r="O106" s="686"/>
      <c r="P106" s="686"/>
      <c r="Q106" s="616"/>
      <c r="R106" s="616"/>
      <c r="S106" s="616"/>
      <c r="T106" s="616"/>
      <c r="U106" s="616"/>
      <c r="V106" s="290"/>
      <c r="W106" s="620"/>
      <c r="X106" s="620"/>
      <c r="Y106" s="620"/>
      <c r="Z106" s="620"/>
      <c r="AA106" s="620"/>
      <c r="AB106" s="620"/>
      <c r="AC106" s="112" t="str">
        <f>IFERROR(VLOOKUP(Z106,【参考】数式用!$A$4:$B$57,2,FALSE),"")</f>
        <v/>
      </c>
      <c r="AD106" s="288"/>
      <c r="AE106" s="294"/>
      <c r="AF106" s="291">
        <f t="shared" si="4"/>
        <v>0</v>
      </c>
      <c r="AG106" s="519"/>
      <c r="AP106" s="102" t="e">
        <f>IF($L$16="", "", VLOOKUP(Z106,【参考】数式用!$A$2:$O$57,14,FALSE))</f>
        <v>#N/A</v>
      </c>
      <c r="AQ106" s="27" t="e">
        <f>VLOOKUP(Z106,【参考】数式用!$A$2:$O$57,15,FALSE)</f>
        <v>#N/A</v>
      </c>
    </row>
    <row r="107" spans="1:43" ht="49.9" customHeight="1">
      <c r="A107" s="50">
        <f t="shared" si="3"/>
        <v>73</v>
      </c>
      <c r="B107" s="687"/>
      <c r="C107" s="688"/>
      <c r="D107" s="688"/>
      <c r="E107" s="688"/>
      <c r="F107" s="688"/>
      <c r="G107" s="688"/>
      <c r="H107" s="688"/>
      <c r="I107" s="688"/>
      <c r="J107" s="688"/>
      <c r="K107" s="688"/>
      <c r="L107" s="686"/>
      <c r="M107" s="686"/>
      <c r="N107" s="686"/>
      <c r="O107" s="686"/>
      <c r="P107" s="686"/>
      <c r="Q107" s="616"/>
      <c r="R107" s="616"/>
      <c r="S107" s="616"/>
      <c r="T107" s="616"/>
      <c r="U107" s="616"/>
      <c r="V107" s="290"/>
      <c r="W107" s="620"/>
      <c r="X107" s="620"/>
      <c r="Y107" s="620"/>
      <c r="Z107" s="620"/>
      <c r="AA107" s="620"/>
      <c r="AB107" s="620"/>
      <c r="AC107" s="112" t="str">
        <f>IFERROR(VLOOKUP(Z107,【参考】数式用!$A$4:$B$57,2,FALSE),"")</f>
        <v/>
      </c>
      <c r="AD107" s="288"/>
      <c r="AE107" s="294"/>
      <c r="AF107" s="291">
        <f t="shared" si="4"/>
        <v>0</v>
      </c>
      <c r="AG107" s="519"/>
      <c r="AP107" s="102" t="e">
        <f>IF($L$16="", "", VLOOKUP(Z107,【参考】数式用!$A$2:$O$57,14,FALSE))</f>
        <v>#N/A</v>
      </c>
      <c r="AQ107" s="27" t="e">
        <f>VLOOKUP(Z107,【参考】数式用!$A$2:$O$57,15,FALSE)</f>
        <v>#N/A</v>
      </c>
    </row>
    <row r="108" spans="1:43" ht="49.9" customHeight="1">
      <c r="A108" s="50">
        <f t="shared" si="3"/>
        <v>74</v>
      </c>
      <c r="B108" s="687"/>
      <c r="C108" s="688"/>
      <c r="D108" s="688"/>
      <c r="E108" s="688"/>
      <c r="F108" s="688"/>
      <c r="G108" s="688"/>
      <c r="H108" s="688"/>
      <c r="I108" s="688"/>
      <c r="J108" s="688"/>
      <c r="K108" s="688"/>
      <c r="L108" s="686"/>
      <c r="M108" s="686"/>
      <c r="N108" s="686"/>
      <c r="O108" s="686"/>
      <c r="P108" s="686"/>
      <c r="Q108" s="616"/>
      <c r="R108" s="616"/>
      <c r="S108" s="616"/>
      <c r="T108" s="616"/>
      <c r="U108" s="616"/>
      <c r="V108" s="290"/>
      <c r="W108" s="620"/>
      <c r="X108" s="620"/>
      <c r="Y108" s="620"/>
      <c r="Z108" s="620"/>
      <c r="AA108" s="620"/>
      <c r="AB108" s="620"/>
      <c r="AC108" s="112" t="str">
        <f>IFERROR(VLOOKUP(Z108,【参考】数式用!$A$4:$B$57,2,FALSE),"")</f>
        <v/>
      </c>
      <c r="AD108" s="288"/>
      <c r="AE108" s="294"/>
      <c r="AF108" s="291">
        <f t="shared" si="4"/>
        <v>0</v>
      </c>
      <c r="AG108" s="519"/>
      <c r="AP108" s="102" t="e">
        <f>IF($L$16="", "", VLOOKUP(Z108,【参考】数式用!$A$2:$O$57,14,FALSE))</f>
        <v>#N/A</v>
      </c>
      <c r="AQ108" s="27" t="e">
        <f>VLOOKUP(Z108,【参考】数式用!$A$2:$O$57,15,FALSE)</f>
        <v>#N/A</v>
      </c>
    </row>
    <row r="109" spans="1:43" ht="49.9" customHeight="1">
      <c r="A109" s="50">
        <f t="shared" si="3"/>
        <v>75</v>
      </c>
      <c r="B109" s="687"/>
      <c r="C109" s="688"/>
      <c r="D109" s="688"/>
      <c r="E109" s="688"/>
      <c r="F109" s="688"/>
      <c r="G109" s="688"/>
      <c r="H109" s="688"/>
      <c r="I109" s="688"/>
      <c r="J109" s="688"/>
      <c r="K109" s="688"/>
      <c r="L109" s="686"/>
      <c r="M109" s="686"/>
      <c r="N109" s="686"/>
      <c r="O109" s="686"/>
      <c r="P109" s="686"/>
      <c r="Q109" s="616"/>
      <c r="R109" s="616"/>
      <c r="S109" s="616"/>
      <c r="T109" s="616"/>
      <c r="U109" s="616"/>
      <c r="V109" s="290"/>
      <c r="W109" s="620"/>
      <c r="X109" s="620"/>
      <c r="Y109" s="620"/>
      <c r="Z109" s="620"/>
      <c r="AA109" s="620"/>
      <c r="AB109" s="620"/>
      <c r="AC109" s="112" t="str">
        <f>IFERROR(VLOOKUP(Z109,【参考】数式用!$A$4:$B$57,2,FALSE),"")</f>
        <v/>
      </c>
      <c r="AD109" s="288"/>
      <c r="AE109" s="294"/>
      <c r="AF109" s="291">
        <f t="shared" si="4"/>
        <v>0</v>
      </c>
      <c r="AG109" s="519"/>
      <c r="AP109" s="102" t="e">
        <f>IF($L$16="", "", VLOOKUP(Z109,【参考】数式用!$A$2:$O$57,14,FALSE))</f>
        <v>#N/A</v>
      </c>
      <c r="AQ109" s="27" t="e">
        <f>VLOOKUP(Z109,【参考】数式用!$A$2:$O$57,15,FALSE)</f>
        <v>#N/A</v>
      </c>
    </row>
    <row r="110" spans="1:43" ht="49.9" customHeight="1">
      <c r="A110" s="50">
        <f t="shared" si="3"/>
        <v>76</v>
      </c>
      <c r="B110" s="687"/>
      <c r="C110" s="688"/>
      <c r="D110" s="688"/>
      <c r="E110" s="688"/>
      <c r="F110" s="688"/>
      <c r="G110" s="688"/>
      <c r="H110" s="688"/>
      <c r="I110" s="688"/>
      <c r="J110" s="688"/>
      <c r="K110" s="688"/>
      <c r="L110" s="686"/>
      <c r="M110" s="686"/>
      <c r="N110" s="686"/>
      <c r="O110" s="686"/>
      <c r="P110" s="686"/>
      <c r="Q110" s="616"/>
      <c r="R110" s="616"/>
      <c r="S110" s="616"/>
      <c r="T110" s="616"/>
      <c r="U110" s="616"/>
      <c r="V110" s="290"/>
      <c r="W110" s="620"/>
      <c r="X110" s="620"/>
      <c r="Y110" s="620"/>
      <c r="Z110" s="620"/>
      <c r="AA110" s="620"/>
      <c r="AB110" s="620"/>
      <c r="AC110" s="112" t="str">
        <f>IFERROR(VLOOKUP(Z110,【参考】数式用!$A$4:$B$57,2,FALSE),"")</f>
        <v/>
      </c>
      <c r="AD110" s="288"/>
      <c r="AE110" s="294"/>
      <c r="AF110" s="291">
        <f t="shared" si="4"/>
        <v>0</v>
      </c>
      <c r="AG110" s="519"/>
      <c r="AP110" s="102" t="e">
        <f>IF($L$16="", "", VLOOKUP(Z110,【参考】数式用!$A$2:$O$57,14,FALSE))</f>
        <v>#N/A</v>
      </c>
      <c r="AQ110" s="27" t="e">
        <f>VLOOKUP(Z110,【参考】数式用!$A$2:$O$57,15,FALSE)</f>
        <v>#N/A</v>
      </c>
    </row>
    <row r="111" spans="1:43" ht="49.9" customHeight="1">
      <c r="A111" s="50">
        <f t="shared" si="3"/>
        <v>77</v>
      </c>
      <c r="B111" s="687"/>
      <c r="C111" s="688"/>
      <c r="D111" s="688"/>
      <c r="E111" s="688"/>
      <c r="F111" s="688"/>
      <c r="G111" s="688"/>
      <c r="H111" s="688"/>
      <c r="I111" s="688"/>
      <c r="J111" s="688"/>
      <c r="K111" s="688"/>
      <c r="L111" s="686"/>
      <c r="M111" s="686"/>
      <c r="N111" s="686"/>
      <c r="O111" s="686"/>
      <c r="P111" s="686"/>
      <c r="Q111" s="616"/>
      <c r="R111" s="616"/>
      <c r="S111" s="616"/>
      <c r="T111" s="616"/>
      <c r="U111" s="616"/>
      <c r="V111" s="290"/>
      <c r="W111" s="620"/>
      <c r="X111" s="620"/>
      <c r="Y111" s="620"/>
      <c r="Z111" s="620"/>
      <c r="AA111" s="620"/>
      <c r="AB111" s="620"/>
      <c r="AC111" s="112" t="str">
        <f>IFERROR(VLOOKUP(Z111,【参考】数式用!$A$4:$B$57,2,FALSE),"")</f>
        <v/>
      </c>
      <c r="AD111" s="288"/>
      <c r="AE111" s="294"/>
      <c r="AF111" s="291">
        <f t="shared" si="4"/>
        <v>0</v>
      </c>
      <c r="AG111" s="519"/>
      <c r="AP111" s="102" t="e">
        <f>IF($L$16="", "", VLOOKUP(Z111,【参考】数式用!$A$2:$O$57,14,FALSE))</f>
        <v>#N/A</v>
      </c>
      <c r="AQ111" s="27" t="e">
        <f>VLOOKUP(Z111,【参考】数式用!$A$2:$O$57,15,FALSE)</f>
        <v>#N/A</v>
      </c>
    </row>
    <row r="112" spans="1:43" ht="49.9" customHeight="1">
      <c r="A112" s="50">
        <f t="shared" si="3"/>
        <v>78</v>
      </c>
      <c r="B112" s="687"/>
      <c r="C112" s="688"/>
      <c r="D112" s="688"/>
      <c r="E112" s="688"/>
      <c r="F112" s="688"/>
      <c r="G112" s="688"/>
      <c r="H112" s="688"/>
      <c r="I112" s="688"/>
      <c r="J112" s="688"/>
      <c r="K112" s="688"/>
      <c r="L112" s="686"/>
      <c r="M112" s="686"/>
      <c r="N112" s="686"/>
      <c r="O112" s="686"/>
      <c r="P112" s="686"/>
      <c r="Q112" s="616"/>
      <c r="R112" s="616"/>
      <c r="S112" s="616"/>
      <c r="T112" s="616"/>
      <c r="U112" s="616"/>
      <c r="V112" s="290"/>
      <c r="W112" s="620"/>
      <c r="X112" s="620"/>
      <c r="Y112" s="620"/>
      <c r="Z112" s="620"/>
      <c r="AA112" s="620"/>
      <c r="AB112" s="620"/>
      <c r="AC112" s="112" t="str">
        <f>IFERROR(VLOOKUP(Z112,【参考】数式用!$A$4:$B$57,2,FALSE),"")</f>
        <v/>
      </c>
      <c r="AD112" s="288"/>
      <c r="AE112" s="294"/>
      <c r="AF112" s="291">
        <f t="shared" si="4"/>
        <v>0</v>
      </c>
      <c r="AG112" s="519"/>
      <c r="AP112" s="102" t="e">
        <f>IF($L$16="", "", VLOOKUP(Z112,【参考】数式用!$A$2:$O$57,14,FALSE))</f>
        <v>#N/A</v>
      </c>
      <c r="AQ112" s="27" t="e">
        <f>VLOOKUP(Z112,【参考】数式用!$A$2:$O$57,15,FALSE)</f>
        <v>#N/A</v>
      </c>
    </row>
    <row r="113" spans="1:43" ht="49.9" customHeight="1">
      <c r="A113" s="50">
        <f t="shared" si="3"/>
        <v>79</v>
      </c>
      <c r="B113" s="687"/>
      <c r="C113" s="688"/>
      <c r="D113" s="688"/>
      <c r="E113" s="688"/>
      <c r="F113" s="688"/>
      <c r="G113" s="688"/>
      <c r="H113" s="688"/>
      <c r="I113" s="688"/>
      <c r="J113" s="688"/>
      <c r="K113" s="688"/>
      <c r="L113" s="686"/>
      <c r="M113" s="686"/>
      <c r="N113" s="686"/>
      <c r="O113" s="686"/>
      <c r="P113" s="686"/>
      <c r="Q113" s="616"/>
      <c r="R113" s="616"/>
      <c r="S113" s="616"/>
      <c r="T113" s="616"/>
      <c r="U113" s="616"/>
      <c r="V113" s="290"/>
      <c r="W113" s="620"/>
      <c r="X113" s="620"/>
      <c r="Y113" s="620"/>
      <c r="Z113" s="620"/>
      <c r="AA113" s="620"/>
      <c r="AB113" s="620"/>
      <c r="AC113" s="112" t="str">
        <f>IFERROR(VLOOKUP(Z113,【参考】数式用!$A$4:$B$57,2,FALSE),"")</f>
        <v/>
      </c>
      <c r="AD113" s="288"/>
      <c r="AE113" s="294"/>
      <c r="AF113" s="291">
        <f t="shared" si="4"/>
        <v>0</v>
      </c>
      <c r="AG113" s="519"/>
      <c r="AP113" s="102" t="e">
        <f>IF($L$16="", "", VLOOKUP(Z113,【参考】数式用!$A$2:$O$57,14,FALSE))</f>
        <v>#N/A</v>
      </c>
      <c r="AQ113" s="27" t="e">
        <f>VLOOKUP(Z113,【参考】数式用!$A$2:$O$57,15,FALSE)</f>
        <v>#N/A</v>
      </c>
    </row>
    <row r="114" spans="1:43" ht="49.9" customHeight="1">
      <c r="A114" s="50">
        <f t="shared" si="3"/>
        <v>80</v>
      </c>
      <c r="B114" s="687"/>
      <c r="C114" s="688"/>
      <c r="D114" s="688"/>
      <c r="E114" s="688"/>
      <c r="F114" s="688"/>
      <c r="G114" s="688"/>
      <c r="H114" s="688"/>
      <c r="I114" s="688"/>
      <c r="J114" s="688"/>
      <c r="K114" s="688"/>
      <c r="L114" s="686"/>
      <c r="M114" s="686"/>
      <c r="N114" s="686"/>
      <c r="O114" s="686"/>
      <c r="P114" s="686"/>
      <c r="Q114" s="616"/>
      <c r="R114" s="616"/>
      <c r="S114" s="616"/>
      <c r="T114" s="616"/>
      <c r="U114" s="616"/>
      <c r="V114" s="290"/>
      <c r="W114" s="620"/>
      <c r="X114" s="620"/>
      <c r="Y114" s="620"/>
      <c r="Z114" s="620"/>
      <c r="AA114" s="620"/>
      <c r="AB114" s="620"/>
      <c r="AC114" s="112" t="str">
        <f>IFERROR(VLOOKUP(Z114,【参考】数式用!$A$4:$B$57,2,FALSE),"")</f>
        <v/>
      </c>
      <c r="AD114" s="288"/>
      <c r="AE114" s="294"/>
      <c r="AF114" s="291">
        <f t="shared" si="4"/>
        <v>0</v>
      </c>
      <c r="AG114" s="519"/>
      <c r="AP114" s="102" t="e">
        <f>IF($L$16="", "", VLOOKUP(Z114,【参考】数式用!$A$2:$O$57,14,FALSE))</f>
        <v>#N/A</v>
      </c>
      <c r="AQ114" s="27" t="e">
        <f>VLOOKUP(Z114,【参考】数式用!$A$2:$O$57,15,FALSE)</f>
        <v>#N/A</v>
      </c>
    </row>
    <row r="115" spans="1:43" ht="49.9" customHeight="1">
      <c r="A115" s="50">
        <f t="shared" si="3"/>
        <v>81</v>
      </c>
      <c r="B115" s="687"/>
      <c r="C115" s="688"/>
      <c r="D115" s="688"/>
      <c r="E115" s="688"/>
      <c r="F115" s="688"/>
      <c r="G115" s="688"/>
      <c r="H115" s="688"/>
      <c r="I115" s="688"/>
      <c r="J115" s="688"/>
      <c r="K115" s="688"/>
      <c r="L115" s="686"/>
      <c r="M115" s="686"/>
      <c r="N115" s="686"/>
      <c r="O115" s="686"/>
      <c r="P115" s="686"/>
      <c r="Q115" s="616"/>
      <c r="R115" s="616"/>
      <c r="S115" s="616"/>
      <c r="T115" s="616"/>
      <c r="U115" s="616"/>
      <c r="V115" s="290"/>
      <c r="W115" s="620"/>
      <c r="X115" s="620"/>
      <c r="Y115" s="620"/>
      <c r="Z115" s="620"/>
      <c r="AA115" s="620"/>
      <c r="AB115" s="620"/>
      <c r="AC115" s="112" t="str">
        <f>IFERROR(VLOOKUP(Z115,【参考】数式用!$A$4:$B$57,2,FALSE),"")</f>
        <v/>
      </c>
      <c r="AD115" s="288"/>
      <c r="AE115" s="294"/>
      <c r="AF115" s="291">
        <f t="shared" si="4"/>
        <v>0</v>
      </c>
      <c r="AG115" s="519"/>
      <c r="AP115" s="102" t="e">
        <f>IF($L$16="", "", VLOOKUP(Z115,【参考】数式用!$A$2:$O$57,14,FALSE))</f>
        <v>#N/A</v>
      </c>
      <c r="AQ115" s="27" t="e">
        <f>VLOOKUP(Z115,【参考】数式用!$A$2:$O$57,15,FALSE)</f>
        <v>#N/A</v>
      </c>
    </row>
    <row r="116" spans="1:43" ht="49.9" customHeight="1">
      <c r="A116" s="50">
        <f t="shared" si="3"/>
        <v>82</v>
      </c>
      <c r="B116" s="687"/>
      <c r="C116" s="688"/>
      <c r="D116" s="688"/>
      <c r="E116" s="688"/>
      <c r="F116" s="688"/>
      <c r="G116" s="688"/>
      <c r="H116" s="688"/>
      <c r="I116" s="688"/>
      <c r="J116" s="688"/>
      <c r="K116" s="688"/>
      <c r="L116" s="686"/>
      <c r="M116" s="686"/>
      <c r="N116" s="686"/>
      <c r="O116" s="686"/>
      <c r="P116" s="686"/>
      <c r="Q116" s="616"/>
      <c r="R116" s="616"/>
      <c r="S116" s="616"/>
      <c r="T116" s="616"/>
      <c r="U116" s="616"/>
      <c r="V116" s="290"/>
      <c r="W116" s="620"/>
      <c r="X116" s="620"/>
      <c r="Y116" s="620"/>
      <c r="Z116" s="620"/>
      <c r="AA116" s="620"/>
      <c r="AB116" s="620"/>
      <c r="AC116" s="112" t="str">
        <f>IFERROR(VLOOKUP(Z116,【参考】数式用!$A$4:$B$57,2,FALSE),"")</f>
        <v/>
      </c>
      <c r="AD116" s="288"/>
      <c r="AE116" s="294"/>
      <c r="AF116" s="291">
        <f t="shared" si="4"/>
        <v>0</v>
      </c>
      <c r="AG116" s="519"/>
      <c r="AP116" s="102" t="e">
        <f>IF($L$16="", "", VLOOKUP(Z116,【参考】数式用!$A$2:$O$57,14,FALSE))</f>
        <v>#N/A</v>
      </c>
      <c r="AQ116" s="27" t="e">
        <f>VLOOKUP(Z116,【参考】数式用!$A$2:$O$57,15,FALSE)</f>
        <v>#N/A</v>
      </c>
    </row>
    <row r="117" spans="1:43" ht="49.9" customHeight="1">
      <c r="A117" s="50">
        <f t="shared" si="3"/>
        <v>83</v>
      </c>
      <c r="B117" s="687"/>
      <c r="C117" s="688"/>
      <c r="D117" s="688"/>
      <c r="E117" s="688"/>
      <c r="F117" s="688"/>
      <c r="G117" s="688"/>
      <c r="H117" s="688"/>
      <c r="I117" s="688"/>
      <c r="J117" s="688"/>
      <c r="K117" s="688"/>
      <c r="L117" s="686"/>
      <c r="M117" s="686"/>
      <c r="N117" s="686"/>
      <c r="O117" s="686"/>
      <c r="P117" s="686"/>
      <c r="Q117" s="616"/>
      <c r="R117" s="616"/>
      <c r="S117" s="616"/>
      <c r="T117" s="616"/>
      <c r="U117" s="616"/>
      <c r="V117" s="290"/>
      <c r="W117" s="620"/>
      <c r="X117" s="620"/>
      <c r="Y117" s="620"/>
      <c r="Z117" s="620"/>
      <c r="AA117" s="620"/>
      <c r="AB117" s="620"/>
      <c r="AC117" s="112" t="str">
        <f>IFERROR(VLOOKUP(Z117,【参考】数式用!$A$4:$B$57,2,FALSE),"")</f>
        <v/>
      </c>
      <c r="AD117" s="288"/>
      <c r="AE117" s="294"/>
      <c r="AF117" s="291">
        <f t="shared" si="4"/>
        <v>0</v>
      </c>
      <c r="AG117" s="519"/>
      <c r="AP117" s="102" t="e">
        <f>IF($L$16="", "", VLOOKUP(Z117,【参考】数式用!$A$2:$O$57,14,FALSE))</f>
        <v>#N/A</v>
      </c>
      <c r="AQ117" s="27" t="e">
        <f>VLOOKUP(Z117,【参考】数式用!$A$2:$O$57,15,FALSE)</f>
        <v>#N/A</v>
      </c>
    </row>
    <row r="118" spans="1:43" ht="49.9" customHeight="1">
      <c r="A118" s="50">
        <f t="shared" si="3"/>
        <v>84</v>
      </c>
      <c r="B118" s="687"/>
      <c r="C118" s="688"/>
      <c r="D118" s="688"/>
      <c r="E118" s="688"/>
      <c r="F118" s="688"/>
      <c r="G118" s="688"/>
      <c r="H118" s="688"/>
      <c r="I118" s="688"/>
      <c r="J118" s="688"/>
      <c r="K118" s="688"/>
      <c r="L118" s="686"/>
      <c r="M118" s="686"/>
      <c r="N118" s="686"/>
      <c r="O118" s="686"/>
      <c r="P118" s="686"/>
      <c r="Q118" s="616"/>
      <c r="R118" s="616"/>
      <c r="S118" s="616"/>
      <c r="T118" s="616"/>
      <c r="U118" s="616"/>
      <c r="V118" s="290"/>
      <c r="W118" s="620"/>
      <c r="X118" s="620"/>
      <c r="Y118" s="620"/>
      <c r="Z118" s="620"/>
      <c r="AA118" s="620"/>
      <c r="AB118" s="620"/>
      <c r="AC118" s="112" t="str">
        <f>IFERROR(VLOOKUP(Z118,【参考】数式用!$A$4:$B$57,2,FALSE),"")</f>
        <v/>
      </c>
      <c r="AD118" s="288"/>
      <c r="AE118" s="294"/>
      <c r="AF118" s="291">
        <f t="shared" si="4"/>
        <v>0</v>
      </c>
      <c r="AG118" s="519"/>
      <c r="AP118" s="102" t="e">
        <f>IF($L$16="", "", VLOOKUP(Z118,【参考】数式用!$A$2:$O$57,14,FALSE))</f>
        <v>#N/A</v>
      </c>
      <c r="AQ118" s="27" t="e">
        <f>VLOOKUP(Z118,【参考】数式用!$A$2:$O$57,15,FALSE)</f>
        <v>#N/A</v>
      </c>
    </row>
    <row r="119" spans="1:43" ht="49.9" customHeight="1">
      <c r="A119" s="50">
        <f t="shared" si="3"/>
        <v>85</v>
      </c>
      <c r="B119" s="687"/>
      <c r="C119" s="688"/>
      <c r="D119" s="688"/>
      <c r="E119" s="688"/>
      <c r="F119" s="688"/>
      <c r="G119" s="688"/>
      <c r="H119" s="688"/>
      <c r="I119" s="688"/>
      <c r="J119" s="688"/>
      <c r="K119" s="688"/>
      <c r="L119" s="686"/>
      <c r="M119" s="686"/>
      <c r="N119" s="686"/>
      <c r="O119" s="686"/>
      <c r="P119" s="686"/>
      <c r="Q119" s="616"/>
      <c r="R119" s="616"/>
      <c r="S119" s="616"/>
      <c r="T119" s="616"/>
      <c r="U119" s="616"/>
      <c r="V119" s="290"/>
      <c r="W119" s="620"/>
      <c r="X119" s="620"/>
      <c r="Y119" s="620"/>
      <c r="Z119" s="620"/>
      <c r="AA119" s="620"/>
      <c r="AB119" s="620"/>
      <c r="AC119" s="112" t="str">
        <f>IFERROR(VLOOKUP(Z119,【参考】数式用!$A$4:$B$57,2,FALSE),"")</f>
        <v/>
      </c>
      <c r="AD119" s="288"/>
      <c r="AE119" s="294"/>
      <c r="AF119" s="291">
        <f t="shared" si="4"/>
        <v>0</v>
      </c>
      <c r="AG119" s="519"/>
      <c r="AP119" s="102" t="e">
        <f>IF($L$16="", "", VLOOKUP(Z119,【参考】数式用!$A$2:$O$57,14,FALSE))</f>
        <v>#N/A</v>
      </c>
      <c r="AQ119" s="27" t="e">
        <f>VLOOKUP(Z119,【参考】数式用!$A$2:$O$57,15,FALSE)</f>
        <v>#N/A</v>
      </c>
    </row>
    <row r="120" spans="1:43" ht="49.9" customHeight="1">
      <c r="A120" s="50">
        <f t="shared" si="3"/>
        <v>86</v>
      </c>
      <c r="B120" s="687"/>
      <c r="C120" s="688"/>
      <c r="D120" s="688"/>
      <c r="E120" s="688"/>
      <c r="F120" s="688"/>
      <c r="G120" s="688"/>
      <c r="H120" s="688"/>
      <c r="I120" s="688"/>
      <c r="J120" s="688"/>
      <c r="K120" s="688"/>
      <c r="L120" s="686"/>
      <c r="M120" s="686"/>
      <c r="N120" s="686"/>
      <c r="O120" s="686"/>
      <c r="P120" s="686"/>
      <c r="Q120" s="616"/>
      <c r="R120" s="616"/>
      <c r="S120" s="616"/>
      <c r="T120" s="616"/>
      <c r="U120" s="616"/>
      <c r="V120" s="290"/>
      <c r="W120" s="620"/>
      <c r="X120" s="620"/>
      <c r="Y120" s="620"/>
      <c r="Z120" s="620"/>
      <c r="AA120" s="620"/>
      <c r="AB120" s="620"/>
      <c r="AC120" s="112" t="str">
        <f>IFERROR(VLOOKUP(Z120,【参考】数式用!$A$4:$B$57,2,FALSE),"")</f>
        <v/>
      </c>
      <c r="AD120" s="288"/>
      <c r="AE120" s="294"/>
      <c r="AF120" s="291">
        <f t="shared" si="4"/>
        <v>0</v>
      </c>
      <c r="AG120" s="519"/>
      <c r="AP120" s="102" t="e">
        <f>IF($L$16="", "", VLOOKUP(Z120,【参考】数式用!$A$2:$O$57,14,FALSE))</f>
        <v>#N/A</v>
      </c>
      <c r="AQ120" s="27" t="e">
        <f>VLOOKUP(Z120,【参考】数式用!$A$2:$O$57,15,FALSE)</f>
        <v>#N/A</v>
      </c>
    </row>
    <row r="121" spans="1:43" ht="49.9" customHeight="1">
      <c r="A121" s="50">
        <f t="shared" si="3"/>
        <v>87</v>
      </c>
      <c r="B121" s="687"/>
      <c r="C121" s="688"/>
      <c r="D121" s="688"/>
      <c r="E121" s="688"/>
      <c r="F121" s="688"/>
      <c r="G121" s="688"/>
      <c r="H121" s="688"/>
      <c r="I121" s="688"/>
      <c r="J121" s="688"/>
      <c r="K121" s="688"/>
      <c r="L121" s="686"/>
      <c r="M121" s="686"/>
      <c r="N121" s="686"/>
      <c r="O121" s="686"/>
      <c r="P121" s="686"/>
      <c r="Q121" s="616"/>
      <c r="R121" s="616"/>
      <c r="S121" s="616"/>
      <c r="T121" s="616"/>
      <c r="U121" s="616"/>
      <c r="V121" s="290"/>
      <c r="W121" s="620"/>
      <c r="X121" s="620"/>
      <c r="Y121" s="620"/>
      <c r="Z121" s="620"/>
      <c r="AA121" s="620"/>
      <c r="AB121" s="620"/>
      <c r="AC121" s="112" t="str">
        <f>IFERROR(VLOOKUP(Z121,【参考】数式用!$A$4:$B$57,2,FALSE),"")</f>
        <v/>
      </c>
      <c r="AD121" s="288"/>
      <c r="AE121" s="294"/>
      <c r="AF121" s="291">
        <f t="shared" si="4"/>
        <v>0</v>
      </c>
      <c r="AG121" s="519"/>
      <c r="AP121" s="102" t="e">
        <f>IF($L$16="", "", VLOOKUP(Z121,【参考】数式用!$A$2:$O$57,14,FALSE))</f>
        <v>#N/A</v>
      </c>
      <c r="AQ121" s="27" t="e">
        <f>VLOOKUP(Z121,【参考】数式用!$A$2:$O$57,15,FALSE)</f>
        <v>#N/A</v>
      </c>
    </row>
    <row r="122" spans="1:43" ht="49.9" customHeight="1">
      <c r="A122" s="50">
        <f t="shared" si="3"/>
        <v>88</v>
      </c>
      <c r="B122" s="687"/>
      <c r="C122" s="688"/>
      <c r="D122" s="688"/>
      <c r="E122" s="688"/>
      <c r="F122" s="688"/>
      <c r="G122" s="688"/>
      <c r="H122" s="688"/>
      <c r="I122" s="688"/>
      <c r="J122" s="688"/>
      <c r="K122" s="688"/>
      <c r="L122" s="686"/>
      <c r="M122" s="686"/>
      <c r="N122" s="686"/>
      <c r="O122" s="686"/>
      <c r="P122" s="686"/>
      <c r="Q122" s="616"/>
      <c r="R122" s="616"/>
      <c r="S122" s="616"/>
      <c r="T122" s="616"/>
      <c r="U122" s="616"/>
      <c r="V122" s="290"/>
      <c r="W122" s="620"/>
      <c r="X122" s="620"/>
      <c r="Y122" s="620"/>
      <c r="Z122" s="620"/>
      <c r="AA122" s="620"/>
      <c r="AB122" s="620"/>
      <c r="AC122" s="112" t="str">
        <f>IFERROR(VLOOKUP(Z122,【参考】数式用!$A$4:$B$57,2,FALSE),"")</f>
        <v/>
      </c>
      <c r="AD122" s="288"/>
      <c r="AE122" s="294"/>
      <c r="AF122" s="291">
        <f t="shared" si="4"/>
        <v>0</v>
      </c>
      <c r="AG122" s="519"/>
      <c r="AP122" s="102" t="e">
        <f>IF($L$16="", "", VLOOKUP(Z122,【参考】数式用!$A$2:$O$57,14,FALSE))</f>
        <v>#N/A</v>
      </c>
      <c r="AQ122" s="27" t="e">
        <f>VLOOKUP(Z122,【参考】数式用!$A$2:$O$57,15,FALSE)</f>
        <v>#N/A</v>
      </c>
    </row>
    <row r="123" spans="1:43" ht="49.9" customHeight="1">
      <c r="A123" s="50">
        <f t="shared" si="3"/>
        <v>89</v>
      </c>
      <c r="B123" s="687"/>
      <c r="C123" s="688"/>
      <c r="D123" s="688"/>
      <c r="E123" s="688"/>
      <c r="F123" s="688"/>
      <c r="G123" s="688"/>
      <c r="H123" s="688"/>
      <c r="I123" s="688"/>
      <c r="J123" s="688"/>
      <c r="K123" s="688"/>
      <c r="L123" s="686"/>
      <c r="M123" s="686"/>
      <c r="N123" s="686"/>
      <c r="O123" s="686"/>
      <c r="P123" s="686"/>
      <c r="Q123" s="616"/>
      <c r="R123" s="616"/>
      <c r="S123" s="616"/>
      <c r="T123" s="616"/>
      <c r="U123" s="616"/>
      <c r="V123" s="290"/>
      <c r="W123" s="620"/>
      <c r="X123" s="620"/>
      <c r="Y123" s="620"/>
      <c r="Z123" s="620"/>
      <c r="AA123" s="620"/>
      <c r="AB123" s="620"/>
      <c r="AC123" s="112" t="str">
        <f>IFERROR(VLOOKUP(Z123,【参考】数式用!$A$4:$B$57,2,FALSE),"")</f>
        <v/>
      </c>
      <c r="AD123" s="288"/>
      <c r="AE123" s="294"/>
      <c r="AF123" s="291">
        <f t="shared" si="4"/>
        <v>0</v>
      </c>
      <c r="AG123" s="519"/>
      <c r="AP123" s="102" t="e">
        <f>IF($L$16="", "", VLOOKUP(Z123,【参考】数式用!$A$2:$O$57,14,FALSE))</f>
        <v>#N/A</v>
      </c>
      <c r="AQ123" s="27" t="e">
        <f>VLOOKUP(Z123,【参考】数式用!$A$2:$O$57,15,FALSE)</f>
        <v>#N/A</v>
      </c>
    </row>
    <row r="124" spans="1:43" ht="49.9" customHeight="1">
      <c r="A124" s="50">
        <f t="shared" si="3"/>
        <v>90</v>
      </c>
      <c r="B124" s="687"/>
      <c r="C124" s="688"/>
      <c r="D124" s="688"/>
      <c r="E124" s="688"/>
      <c r="F124" s="688"/>
      <c r="G124" s="688"/>
      <c r="H124" s="688"/>
      <c r="I124" s="688"/>
      <c r="J124" s="688"/>
      <c r="K124" s="688"/>
      <c r="L124" s="686"/>
      <c r="M124" s="686"/>
      <c r="N124" s="686"/>
      <c r="O124" s="686"/>
      <c r="P124" s="686"/>
      <c r="Q124" s="616"/>
      <c r="R124" s="616"/>
      <c r="S124" s="616"/>
      <c r="T124" s="616"/>
      <c r="U124" s="616"/>
      <c r="V124" s="290"/>
      <c r="W124" s="620"/>
      <c r="X124" s="620"/>
      <c r="Y124" s="620"/>
      <c r="Z124" s="620"/>
      <c r="AA124" s="620"/>
      <c r="AB124" s="620"/>
      <c r="AC124" s="112" t="str">
        <f>IFERROR(VLOOKUP(Z124,【参考】数式用!$A$4:$B$57,2,FALSE),"")</f>
        <v/>
      </c>
      <c r="AD124" s="288"/>
      <c r="AE124" s="294"/>
      <c r="AF124" s="291">
        <f t="shared" si="4"/>
        <v>0</v>
      </c>
      <c r="AG124" s="519"/>
      <c r="AP124" s="102" t="e">
        <f>IF($L$16="", "", VLOOKUP(Z124,【参考】数式用!$A$2:$O$57,14,FALSE))</f>
        <v>#N/A</v>
      </c>
      <c r="AQ124" s="27" t="e">
        <f>VLOOKUP(Z124,【参考】数式用!$A$2:$O$57,15,FALSE)</f>
        <v>#N/A</v>
      </c>
    </row>
    <row r="125" spans="1:43" ht="49.9" customHeight="1">
      <c r="A125" s="50">
        <f t="shared" si="3"/>
        <v>91</v>
      </c>
      <c r="B125" s="687"/>
      <c r="C125" s="688"/>
      <c r="D125" s="688"/>
      <c r="E125" s="688"/>
      <c r="F125" s="688"/>
      <c r="G125" s="688"/>
      <c r="H125" s="688"/>
      <c r="I125" s="688"/>
      <c r="J125" s="688"/>
      <c r="K125" s="688"/>
      <c r="L125" s="686"/>
      <c r="M125" s="686"/>
      <c r="N125" s="686"/>
      <c r="O125" s="686"/>
      <c r="P125" s="686"/>
      <c r="Q125" s="616"/>
      <c r="R125" s="616"/>
      <c r="S125" s="616"/>
      <c r="T125" s="616"/>
      <c r="U125" s="616"/>
      <c r="V125" s="290"/>
      <c r="W125" s="620"/>
      <c r="X125" s="620"/>
      <c r="Y125" s="620"/>
      <c r="Z125" s="620"/>
      <c r="AA125" s="620"/>
      <c r="AB125" s="620"/>
      <c r="AC125" s="112" t="str">
        <f>IFERROR(VLOOKUP(Z125,【参考】数式用!$A$4:$B$57,2,FALSE),"")</f>
        <v/>
      </c>
      <c r="AD125" s="288"/>
      <c r="AE125" s="294"/>
      <c r="AF125" s="291">
        <f t="shared" si="4"/>
        <v>0</v>
      </c>
      <c r="AG125" s="519"/>
      <c r="AP125" s="102" t="e">
        <f>IF($L$16="", "", VLOOKUP(Z125,【参考】数式用!$A$2:$O$57,14,FALSE))</f>
        <v>#N/A</v>
      </c>
      <c r="AQ125" s="27" t="e">
        <f>VLOOKUP(Z125,【参考】数式用!$A$2:$O$57,15,FALSE)</f>
        <v>#N/A</v>
      </c>
    </row>
    <row r="126" spans="1:43" ht="49.9" customHeight="1">
      <c r="A126" s="50">
        <f t="shared" si="3"/>
        <v>92</v>
      </c>
      <c r="B126" s="687"/>
      <c r="C126" s="688"/>
      <c r="D126" s="688"/>
      <c r="E126" s="688"/>
      <c r="F126" s="688"/>
      <c r="G126" s="688"/>
      <c r="H126" s="688"/>
      <c r="I126" s="688"/>
      <c r="J126" s="688"/>
      <c r="K126" s="688"/>
      <c r="L126" s="686"/>
      <c r="M126" s="686"/>
      <c r="N126" s="686"/>
      <c r="O126" s="686"/>
      <c r="P126" s="686"/>
      <c r="Q126" s="616"/>
      <c r="R126" s="616"/>
      <c r="S126" s="616"/>
      <c r="T126" s="616"/>
      <c r="U126" s="616"/>
      <c r="V126" s="290"/>
      <c r="W126" s="620"/>
      <c r="X126" s="620"/>
      <c r="Y126" s="620"/>
      <c r="Z126" s="620"/>
      <c r="AA126" s="620"/>
      <c r="AB126" s="620"/>
      <c r="AC126" s="112" t="str">
        <f>IFERROR(VLOOKUP(Z126,【参考】数式用!$A$4:$B$57,2,FALSE),"")</f>
        <v/>
      </c>
      <c r="AD126" s="288"/>
      <c r="AE126" s="294"/>
      <c r="AF126" s="291">
        <f t="shared" si="4"/>
        <v>0</v>
      </c>
      <c r="AG126" s="519"/>
      <c r="AP126" s="102" t="e">
        <f>IF($L$16="", "", VLOOKUP(Z126,【参考】数式用!$A$2:$O$57,14,FALSE))</f>
        <v>#N/A</v>
      </c>
      <c r="AQ126" s="27" t="e">
        <f>VLOOKUP(Z126,【参考】数式用!$A$2:$O$57,15,FALSE)</f>
        <v>#N/A</v>
      </c>
    </row>
    <row r="127" spans="1:43" ht="49.9" customHeight="1">
      <c r="A127" s="50">
        <f t="shared" si="3"/>
        <v>93</v>
      </c>
      <c r="B127" s="687"/>
      <c r="C127" s="688"/>
      <c r="D127" s="688"/>
      <c r="E127" s="688"/>
      <c r="F127" s="688"/>
      <c r="G127" s="688"/>
      <c r="H127" s="688"/>
      <c r="I127" s="688"/>
      <c r="J127" s="688"/>
      <c r="K127" s="688"/>
      <c r="L127" s="686"/>
      <c r="M127" s="686"/>
      <c r="N127" s="686"/>
      <c r="O127" s="686"/>
      <c r="P127" s="686"/>
      <c r="Q127" s="616"/>
      <c r="R127" s="616"/>
      <c r="S127" s="616"/>
      <c r="T127" s="616"/>
      <c r="U127" s="616"/>
      <c r="V127" s="290"/>
      <c r="W127" s="620"/>
      <c r="X127" s="620"/>
      <c r="Y127" s="620"/>
      <c r="Z127" s="620"/>
      <c r="AA127" s="620"/>
      <c r="AB127" s="620"/>
      <c r="AC127" s="112" t="str">
        <f>IFERROR(VLOOKUP(Z127,【参考】数式用!$A$4:$B$57,2,FALSE),"")</f>
        <v/>
      </c>
      <c r="AD127" s="288"/>
      <c r="AE127" s="294"/>
      <c r="AF127" s="291">
        <f t="shared" si="4"/>
        <v>0</v>
      </c>
      <c r="AG127" s="519"/>
      <c r="AP127" s="102" t="e">
        <f>IF($L$16="", "", VLOOKUP(Z127,【参考】数式用!$A$2:$O$57,14,FALSE))</f>
        <v>#N/A</v>
      </c>
      <c r="AQ127" s="27" t="e">
        <f>VLOOKUP(Z127,【参考】数式用!$A$2:$O$57,15,FALSE)</f>
        <v>#N/A</v>
      </c>
    </row>
    <row r="128" spans="1:43" ht="49.9" customHeight="1">
      <c r="A128" s="50">
        <f t="shared" si="3"/>
        <v>94</v>
      </c>
      <c r="B128" s="687"/>
      <c r="C128" s="688"/>
      <c r="D128" s="688"/>
      <c r="E128" s="688"/>
      <c r="F128" s="688"/>
      <c r="G128" s="688"/>
      <c r="H128" s="688"/>
      <c r="I128" s="688"/>
      <c r="J128" s="688"/>
      <c r="K128" s="688"/>
      <c r="L128" s="686"/>
      <c r="M128" s="686"/>
      <c r="N128" s="686"/>
      <c r="O128" s="686"/>
      <c r="P128" s="686"/>
      <c r="Q128" s="616"/>
      <c r="R128" s="616"/>
      <c r="S128" s="616"/>
      <c r="T128" s="616"/>
      <c r="U128" s="616"/>
      <c r="V128" s="290"/>
      <c r="W128" s="620"/>
      <c r="X128" s="620"/>
      <c r="Y128" s="620"/>
      <c r="Z128" s="620"/>
      <c r="AA128" s="620"/>
      <c r="AB128" s="620"/>
      <c r="AC128" s="112" t="str">
        <f>IFERROR(VLOOKUP(Z128,【参考】数式用!$A$4:$B$57,2,FALSE),"")</f>
        <v/>
      </c>
      <c r="AD128" s="288"/>
      <c r="AE128" s="294"/>
      <c r="AF128" s="291">
        <f t="shared" si="4"/>
        <v>0</v>
      </c>
      <c r="AG128" s="519"/>
      <c r="AP128" s="102" t="e">
        <f>IF($L$16="", "", VLOOKUP(Z128,【参考】数式用!$A$2:$O$57,14,FALSE))</f>
        <v>#N/A</v>
      </c>
      <c r="AQ128" s="27" t="e">
        <f>VLOOKUP(Z128,【参考】数式用!$A$2:$O$57,15,FALSE)</f>
        <v>#N/A</v>
      </c>
    </row>
    <row r="129" spans="1:43" ht="49.9" customHeight="1">
      <c r="A129" s="50">
        <f t="shared" si="3"/>
        <v>95</v>
      </c>
      <c r="B129" s="687"/>
      <c r="C129" s="688"/>
      <c r="D129" s="688"/>
      <c r="E129" s="688"/>
      <c r="F129" s="688"/>
      <c r="G129" s="688"/>
      <c r="H129" s="688"/>
      <c r="I129" s="688"/>
      <c r="J129" s="688"/>
      <c r="K129" s="688"/>
      <c r="L129" s="686"/>
      <c r="M129" s="686"/>
      <c r="N129" s="686"/>
      <c r="O129" s="686"/>
      <c r="P129" s="686"/>
      <c r="Q129" s="616"/>
      <c r="R129" s="616"/>
      <c r="S129" s="616"/>
      <c r="T129" s="616"/>
      <c r="U129" s="616"/>
      <c r="V129" s="290"/>
      <c r="W129" s="620"/>
      <c r="X129" s="620"/>
      <c r="Y129" s="620"/>
      <c r="Z129" s="620"/>
      <c r="AA129" s="620"/>
      <c r="AB129" s="620"/>
      <c r="AC129" s="112" t="str">
        <f>IFERROR(VLOOKUP(Z129,【参考】数式用!$A$4:$B$57,2,FALSE),"")</f>
        <v/>
      </c>
      <c r="AD129" s="288"/>
      <c r="AE129" s="294"/>
      <c r="AF129" s="291">
        <f t="shared" si="4"/>
        <v>0</v>
      </c>
      <c r="AG129" s="519"/>
      <c r="AP129" s="102" t="e">
        <f>IF($L$16="", "", VLOOKUP(Z129,【参考】数式用!$A$2:$O$57,14,FALSE))</f>
        <v>#N/A</v>
      </c>
      <c r="AQ129" s="27" t="e">
        <f>VLOOKUP(Z129,【参考】数式用!$A$2:$O$57,15,FALSE)</f>
        <v>#N/A</v>
      </c>
    </row>
    <row r="130" spans="1:43" ht="49.9" customHeight="1">
      <c r="A130" s="50">
        <f t="shared" si="3"/>
        <v>96</v>
      </c>
      <c r="B130" s="687"/>
      <c r="C130" s="688"/>
      <c r="D130" s="688"/>
      <c r="E130" s="688"/>
      <c r="F130" s="688"/>
      <c r="G130" s="688"/>
      <c r="H130" s="688"/>
      <c r="I130" s="688"/>
      <c r="J130" s="688"/>
      <c r="K130" s="688"/>
      <c r="L130" s="686"/>
      <c r="M130" s="686"/>
      <c r="N130" s="686"/>
      <c r="O130" s="686"/>
      <c r="P130" s="686"/>
      <c r="Q130" s="616"/>
      <c r="R130" s="616"/>
      <c r="S130" s="616"/>
      <c r="T130" s="616"/>
      <c r="U130" s="616"/>
      <c r="V130" s="290"/>
      <c r="W130" s="620"/>
      <c r="X130" s="620"/>
      <c r="Y130" s="620"/>
      <c r="Z130" s="620"/>
      <c r="AA130" s="620"/>
      <c r="AB130" s="620"/>
      <c r="AC130" s="112" t="str">
        <f>IFERROR(VLOOKUP(Z130,【参考】数式用!$A$4:$B$57,2,FALSE),"")</f>
        <v/>
      </c>
      <c r="AD130" s="288"/>
      <c r="AE130" s="294"/>
      <c r="AF130" s="291">
        <f t="shared" si="4"/>
        <v>0</v>
      </c>
      <c r="AG130" s="519"/>
      <c r="AP130" s="102" t="e">
        <f>IF($L$16="", "", VLOOKUP(Z130,【参考】数式用!$A$2:$O$57,14,FALSE))</f>
        <v>#N/A</v>
      </c>
      <c r="AQ130" s="27" t="e">
        <f>VLOOKUP(Z130,【参考】数式用!$A$2:$O$57,15,FALSE)</f>
        <v>#N/A</v>
      </c>
    </row>
    <row r="131" spans="1:43" ht="49.9" customHeight="1">
      <c r="A131" s="50">
        <f t="shared" si="3"/>
        <v>97</v>
      </c>
      <c r="B131" s="687"/>
      <c r="C131" s="688"/>
      <c r="D131" s="688"/>
      <c r="E131" s="688"/>
      <c r="F131" s="688"/>
      <c r="G131" s="688"/>
      <c r="H131" s="688"/>
      <c r="I131" s="688"/>
      <c r="J131" s="688"/>
      <c r="K131" s="688"/>
      <c r="L131" s="686"/>
      <c r="M131" s="686"/>
      <c r="N131" s="686"/>
      <c r="O131" s="686"/>
      <c r="P131" s="686"/>
      <c r="Q131" s="616"/>
      <c r="R131" s="616"/>
      <c r="S131" s="616"/>
      <c r="T131" s="616"/>
      <c r="U131" s="616"/>
      <c r="V131" s="290"/>
      <c r="W131" s="620"/>
      <c r="X131" s="620"/>
      <c r="Y131" s="620"/>
      <c r="Z131" s="620"/>
      <c r="AA131" s="620"/>
      <c r="AB131" s="620"/>
      <c r="AC131" s="112" t="str">
        <f>IFERROR(VLOOKUP(Z131,【参考】数式用!$A$4:$B$57,2,FALSE),"")</f>
        <v/>
      </c>
      <c r="AD131" s="288"/>
      <c r="AE131" s="294"/>
      <c r="AF131" s="291">
        <f t="shared" si="4"/>
        <v>0</v>
      </c>
      <c r="AG131" s="519"/>
      <c r="AP131" s="102" t="e">
        <f>IF($L$16="", "", VLOOKUP(Z131,【参考】数式用!$A$2:$O$57,14,FALSE))</f>
        <v>#N/A</v>
      </c>
      <c r="AQ131" s="27" t="e">
        <f>VLOOKUP(Z131,【参考】数式用!$A$2:$O$57,15,FALSE)</f>
        <v>#N/A</v>
      </c>
    </row>
    <row r="132" spans="1:43" ht="49.9" customHeight="1">
      <c r="A132" s="50">
        <f t="shared" si="3"/>
        <v>98</v>
      </c>
      <c r="B132" s="687"/>
      <c r="C132" s="688"/>
      <c r="D132" s="688"/>
      <c r="E132" s="688"/>
      <c r="F132" s="688"/>
      <c r="G132" s="688"/>
      <c r="H132" s="688"/>
      <c r="I132" s="688"/>
      <c r="J132" s="688"/>
      <c r="K132" s="688"/>
      <c r="L132" s="686"/>
      <c r="M132" s="686"/>
      <c r="N132" s="686"/>
      <c r="O132" s="686"/>
      <c r="P132" s="686"/>
      <c r="Q132" s="616"/>
      <c r="R132" s="616"/>
      <c r="S132" s="616"/>
      <c r="T132" s="616"/>
      <c r="U132" s="616"/>
      <c r="V132" s="290"/>
      <c r="W132" s="620"/>
      <c r="X132" s="620"/>
      <c r="Y132" s="620"/>
      <c r="Z132" s="620"/>
      <c r="AA132" s="620"/>
      <c r="AB132" s="620"/>
      <c r="AC132" s="112" t="str">
        <f>IFERROR(VLOOKUP(Z132,【参考】数式用!$A$4:$B$57,2,FALSE),"")</f>
        <v/>
      </c>
      <c r="AD132" s="288"/>
      <c r="AE132" s="294"/>
      <c r="AF132" s="291">
        <f t="shared" si="4"/>
        <v>0</v>
      </c>
      <c r="AG132" s="519"/>
      <c r="AP132" s="102" t="e">
        <f>IF($L$16="", "", VLOOKUP(Z132,【参考】数式用!$A$2:$O$57,14,FALSE))</f>
        <v>#N/A</v>
      </c>
      <c r="AQ132" s="27" t="e">
        <f>VLOOKUP(Z132,【参考】数式用!$A$2:$O$57,15,FALSE)</f>
        <v>#N/A</v>
      </c>
    </row>
    <row r="133" spans="1:43" ht="49.9" customHeight="1">
      <c r="A133" s="50">
        <f t="shared" si="3"/>
        <v>99</v>
      </c>
      <c r="B133" s="687"/>
      <c r="C133" s="688"/>
      <c r="D133" s="688"/>
      <c r="E133" s="688"/>
      <c r="F133" s="688"/>
      <c r="G133" s="688"/>
      <c r="H133" s="688"/>
      <c r="I133" s="688"/>
      <c r="J133" s="688"/>
      <c r="K133" s="688"/>
      <c r="L133" s="686"/>
      <c r="M133" s="686"/>
      <c r="N133" s="686"/>
      <c r="O133" s="686"/>
      <c r="P133" s="686"/>
      <c r="Q133" s="616"/>
      <c r="R133" s="616"/>
      <c r="S133" s="616"/>
      <c r="T133" s="616"/>
      <c r="U133" s="616"/>
      <c r="V133" s="290"/>
      <c r="W133" s="620"/>
      <c r="X133" s="620"/>
      <c r="Y133" s="620"/>
      <c r="Z133" s="620"/>
      <c r="AA133" s="620"/>
      <c r="AB133" s="620"/>
      <c r="AC133" s="112" t="str">
        <f>IFERROR(VLOOKUP(Z133,【参考】数式用!$A$4:$B$57,2,FALSE),"")</f>
        <v/>
      </c>
      <c r="AD133" s="288"/>
      <c r="AE133" s="294"/>
      <c r="AF133" s="291">
        <f t="shared" si="4"/>
        <v>0</v>
      </c>
      <c r="AG133" s="519"/>
      <c r="AP133" s="102" t="e">
        <f>IF($L$16="", "", VLOOKUP(Z133,【参考】数式用!$A$2:$O$57,14,FALSE))</f>
        <v>#N/A</v>
      </c>
      <c r="AQ133" s="27" t="e">
        <f>VLOOKUP(Z133,【参考】数式用!$A$2:$O$57,15,FALSE)</f>
        <v>#N/A</v>
      </c>
    </row>
    <row r="134" spans="1:43" ht="49.9" customHeight="1">
      <c r="A134" s="50">
        <f t="shared" si="3"/>
        <v>100</v>
      </c>
      <c r="B134" s="687"/>
      <c r="C134" s="688"/>
      <c r="D134" s="688"/>
      <c r="E134" s="688"/>
      <c r="F134" s="688"/>
      <c r="G134" s="688"/>
      <c r="H134" s="688"/>
      <c r="I134" s="688"/>
      <c r="J134" s="688"/>
      <c r="K134" s="688"/>
      <c r="L134" s="686"/>
      <c r="M134" s="686"/>
      <c r="N134" s="686"/>
      <c r="O134" s="686"/>
      <c r="P134" s="686"/>
      <c r="Q134" s="616"/>
      <c r="R134" s="616"/>
      <c r="S134" s="616"/>
      <c r="T134" s="616"/>
      <c r="U134" s="616"/>
      <c r="V134" s="290"/>
      <c r="W134" s="620"/>
      <c r="X134" s="620"/>
      <c r="Y134" s="620"/>
      <c r="Z134" s="620"/>
      <c r="AA134" s="620"/>
      <c r="AB134" s="620"/>
      <c r="AC134" s="112" t="str">
        <f>IFERROR(VLOOKUP(Z134,【参考】数式用!$A$4:$B$57,2,FALSE),"")</f>
        <v/>
      </c>
      <c r="AD134" s="288"/>
      <c r="AE134" s="294"/>
      <c r="AF134" s="291">
        <f t="shared" si="4"/>
        <v>0</v>
      </c>
      <c r="AG134" s="519"/>
      <c r="AP134" s="102" t="e">
        <f>IF($L$16="", "", VLOOKUP(Z134,【参考】数式用!$A$2:$O$57,14,FALSE))</f>
        <v>#N/A</v>
      </c>
      <c r="AQ134" s="27" t="e">
        <f>VLOOKUP(Z134,【参考】数式用!$A$2:$O$57,15,FALSE)</f>
        <v>#N/A</v>
      </c>
    </row>
    <row r="135" spans="1:43" ht="49.9" customHeight="1" thickBot="1">
      <c r="A135" s="50">
        <f t="shared" si="3"/>
        <v>101</v>
      </c>
      <c r="B135" s="687"/>
      <c r="C135" s="688"/>
      <c r="D135" s="688"/>
      <c r="E135" s="688"/>
      <c r="F135" s="688"/>
      <c r="G135" s="688"/>
      <c r="H135" s="688"/>
      <c r="I135" s="688"/>
      <c r="J135" s="688"/>
      <c r="K135" s="688"/>
      <c r="L135" s="686"/>
      <c r="M135" s="686"/>
      <c r="N135" s="686"/>
      <c r="O135" s="686"/>
      <c r="P135" s="686"/>
      <c r="Q135" s="616"/>
      <c r="R135" s="616"/>
      <c r="S135" s="616"/>
      <c r="T135" s="616"/>
      <c r="U135" s="616"/>
      <c r="V135" s="290"/>
      <c r="W135" s="630"/>
      <c r="X135" s="630"/>
      <c r="Y135" s="630"/>
      <c r="Z135" s="620"/>
      <c r="AA135" s="620"/>
      <c r="AB135" s="620"/>
      <c r="AC135" s="295" t="str">
        <f>IFERROR(VLOOKUP(Z135,【参考】数式用!$A$4:$B$57,2,FALSE),"")</f>
        <v/>
      </c>
      <c r="AD135" s="296"/>
      <c r="AE135" s="297"/>
      <c r="AF135" s="291">
        <f t="shared" si="4"/>
        <v>0</v>
      </c>
      <c r="AG135" s="519"/>
      <c r="AP135" s="102" t="e">
        <f>IF($L$16="", "", VLOOKUP(Z135,【参考】数式用!$A$2:$O$57,14,FALSE))</f>
        <v>#N/A</v>
      </c>
      <c r="AQ135" s="27" t="e">
        <f>VLOOKUP(Z135,【参考】数式用!$A$2:$O$57,15,FALSE)</f>
        <v>#N/A</v>
      </c>
    </row>
  </sheetData>
  <sheetProtection algorithmName="SHA-512" hashValue="yqlzIl2yFLyByhHJ4huhiLUwjLsrlf32YhaQnwGMFf0sRBKe9bRcLMiAS9mTbJ/ACp4sanxoYlsT6wmC+KHq1Q==" saltValue="mFr0QZF5RXVUtzrk7ZPutQ==" spinCount="100000" sheet="1" sort="0" autoFilter="0"/>
  <dataConsolidate/>
  <mergeCells count="556">
    <mergeCell ref="W73:Y73"/>
    <mergeCell ref="W72:Y72"/>
    <mergeCell ref="Q71:U71"/>
    <mergeCell ref="Q70:U70"/>
    <mergeCell ref="Q84:U84"/>
    <mergeCell ref="Q83:U83"/>
    <mergeCell ref="Q82:U82"/>
    <mergeCell ref="Q81:U81"/>
    <mergeCell ref="W82:Y82"/>
    <mergeCell ref="W81:Y81"/>
    <mergeCell ref="Z70:AB70"/>
    <mergeCell ref="Z71:AB71"/>
    <mergeCell ref="W62:Y62"/>
    <mergeCell ref="W63:Y63"/>
    <mergeCell ref="W68:Y68"/>
    <mergeCell ref="Z66:AB66"/>
    <mergeCell ref="Z67:AB67"/>
    <mergeCell ref="W64:Y64"/>
    <mergeCell ref="W65:Y65"/>
    <mergeCell ref="W66:Y66"/>
    <mergeCell ref="W67:Y67"/>
    <mergeCell ref="Z68:AB68"/>
    <mergeCell ref="Z69:AB69"/>
    <mergeCell ref="W71:Y71"/>
    <mergeCell ref="W70:Y70"/>
    <mergeCell ref="W69:Y69"/>
    <mergeCell ref="AG33:AG34"/>
    <mergeCell ref="Q33:V33"/>
    <mergeCell ref="AE33:AE34"/>
    <mergeCell ref="Z61:AB61"/>
    <mergeCell ref="Z62:AB62"/>
    <mergeCell ref="Z63:AB63"/>
    <mergeCell ref="Z64:AB64"/>
    <mergeCell ref="Z65:AB65"/>
    <mergeCell ref="Z52:AB52"/>
    <mergeCell ref="Z53:AB53"/>
    <mergeCell ref="Z54:AB54"/>
    <mergeCell ref="Z55:AB55"/>
    <mergeCell ref="Z56:AB56"/>
    <mergeCell ref="Z57:AB57"/>
    <mergeCell ref="Z58:AB58"/>
    <mergeCell ref="Z59:AB59"/>
    <mergeCell ref="Z60:AB60"/>
    <mergeCell ref="Q34:U34"/>
    <mergeCell ref="Q43:U43"/>
    <mergeCell ref="Q39:U39"/>
    <mergeCell ref="Q40:U40"/>
    <mergeCell ref="Q57:U57"/>
    <mergeCell ref="Q36:U36"/>
    <mergeCell ref="W35:Y35"/>
    <mergeCell ref="L20:AF20"/>
    <mergeCell ref="AC33:AC3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W102:Y102"/>
    <mergeCell ref="W101:Y101"/>
    <mergeCell ref="W100:Y100"/>
    <mergeCell ref="W99:Y99"/>
    <mergeCell ref="W98:Y98"/>
    <mergeCell ref="W97:Y97"/>
    <mergeCell ref="W96:Y96"/>
    <mergeCell ref="W93:Y93"/>
    <mergeCell ref="W92:Y92"/>
    <mergeCell ref="W95:Y95"/>
    <mergeCell ref="W94:Y94"/>
    <mergeCell ref="Q86:U86"/>
    <mergeCell ref="Q85:U85"/>
    <mergeCell ref="Q80:U80"/>
    <mergeCell ref="Q79:U79"/>
    <mergeCell ref="Q73:U73"/>
    <mergeCell ref="Q76:U76"/>
    <mergeCell ref="Q68:U68"/>
    <mergeCell ref="Q67:U67"/>
    <mergeCell ref="Q66:U66"/>
    <mergeCell ref="B53:K53"/>
    <mergeCell ref="Q53:U53"/>
    <mergeCell ref="Q55:U55"/>
    <mergeCell ref="Q56:U56"/>
    <mergeCell ref="L53:P53"/>
    <mergeCell ref="B55:K55"/>
    <mergeCell ref="Q62:U62"/>
    <mergeCell ref="Q59:U59"/>
    <mergeCell ref="Q60:U60"/>
    <mergeCell ref="Q58:U58"/>
    <mergeCell ref="L60:P60"/>
    <mergeCell ref="L61:P61"/>
    <mergeCell ref="L62:P62"/>
    <mergeCell ref="Q54:U54"/>
    <mergeCell ref="B59:K59"/>
    <mergeCell ref="B56:K56"/>
    <mergeCell ref="Q61:U61"/>
    <mergeCell ref="B60:K60"/>
    <mergeCell ref="B61:K61"/>
    <mergeCell ref="L54:P54"/>
    <mergeCell ref="B57:K57"/>
    <mergeCell ref="L59:P59"/>
    <mergeCell ref="L55:P55"/>
    <mergeCell ref="L56:P56"/>
    <mergeCell ref="Q63:U63"/>
    <mergeCell ref="B69:K69"/>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Q116:U116"/>
    <mergeCell ref="Q115:U115"/>
    <mergeCell ref="Q114:U114"/>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B135:K135"/>
    <mergeCell ref="B126:K126"/>
    <mergeCell ref="B127:K127"/>
    <mergeCell ref="B128:K128"/>
    <mergeCell ref="B129:K129"/>
    <mergeCell ref="B130:K130"/>
    <mergeCell ref="B131:K131"/>
    <mergeCell ref="B132:K132"/>
    <mergeCell ref="B133:K133"/>
    <mergeCell ref="B134:K13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B114:K114"/>
    <mergeCell ref="B115:K115"/>
    <mergeCell ref="B119:K119"/>
    <mergeCell ref="L122:P122"/>
    <mergeCell ref="L114:P114"/>
    <mergeCell ref="L40:P40"/>
    <mergeCell ref="L39:P39"/>
    <mergeCell ref="Q50:U50"/>
    <mergeCell ref="L47:P47"/>
    <mergeCell ref="L49:P49"/>
    <mergeCell ref="Q51:U51"/>
    <mergeCell ref="Q45:U45"/>
    <mergeCell ref="Q46:U46"/>
    <mergeCell ref="L42:P42"/>
    <mergeCell ref="L43:P43"/>
    <mergeCell ref="Q41:U41"/>
    <mergeCell ref="Q42:U42"/>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64:P64"/>
    <mergeCell ref="L81:P81"/>
    <mergeCell ref="L67:P67"/>
    <mergeCell ref="L101:P101"/>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6:P96"/>
    <mergeCell ref="L97:P97"/>
    <mergeCell ref="L91:P91"/>
    <mergeCell ref="L66:P66"/>
    <mergeCell ref="B90:K90"/>
    <mergeCell ref="L95:P95"/>
    <mergeCell ref="L92:P92"/>
    <mergeCell ref="L93:P93"/>
    <mergeCell ref="Q108:U108"/>
    <mergeCell ref="Q107:U107"/>
    <mergeCell ref="Q106:U106"/>
    <mergeCell ref="Q105:U105"/>
    <mergeCell ref="Q104:U104"/>
    <mergeCell ref="Q112:U112"/>
    <mergeCell ref="B74:K74"/>
    <mergeCell ref="L58:P58"/>
    <mergeCell ref="L57:P57"/>
    <mergeCell ref="Q93:U93"/>
    <mergeCell ref="Q92:U92"/>
    <mergeCell ref="B94:K94"/>
    <mergeCell ref="B98:K98"/>
    <mergeCell ref="L102:P102"/>
    <mergeCell ref="L104:P104"/>
    <mergeCell ref="L105:P105"/>
    <mergeCell ref="B99:K99"/>
    <mergeCell ref="B103:K103"/>
    <mergeCell ref="L100:P100"/>
    <mergeCell ref="B75:K75"/>
    <mergeCell ref="B66:K66"/>
    <mergeCell ref="L99:P99"/>
    <mergeCell ref="L94:P94"/>
    <mergeCell ref="L70:P70"/>
    <mergeCell ref="Q102:U102"/>
    <mergeCell ref="Q120:U120"/>
    <mergeCell ref="Q119:U119"/>
    <mergeCell ref="Q118:U118"/>
    <mergeCell ref="Q117:U117"/>
    <mergeCell ref="L108:P108"/>
    <mergeCell ref="B92:K92"/>
    <mergeCell ref="B93:K93"/>
    <mergeCell ref="Q74:U74"/>
    <mergeCell ref="Q77:U77"/>
    <mergeCell ref="L103:P103"/>
    <mergeCell ref="L111:P111"/>
    <mergeCell ref="L112:P112"/>
    <mergeCell ref="L113:P113"/>
    <mergeCell ref="L89:P89"/>
    <mergeCell ref="L90:P90"/>
    <mergeCell ref="L82:P82"/>
    <mergeCell ref="Q100:U100"/>
    <mergeCell ref="Q101:U101"/>
    <mergeCell ref="Q94:U94"/>
    <mergeCell ref="Q113:U113"/>
    <mergeCell ref="Q111:U111"/>
    <mergeCell ref="Q110:U110"/>
    <mergeCell ref="Q109:U109"/>
    <mergeCell ref="L135:P135"/>
    <mergeCell ref="Q99:U99"/>
    <mergeCell ref="Q98:U98"/>
    <mergeCell ref="L109:P109"/>
    <mergeCell ref="L115:P115"/>
    <mergeCell ref="Q134:U134"/>
    <mergeCell ref="Q133:U133"/>
    <mergeCell ref="Q132:U132"/>
    <mergeCell ref="Q131:U131"/>
    <mergeCell ref="Q130:U130"/>
    <mergeCell ref="Q129:U129"/>
    <mergeCell ref="Q128:U128"/>
    <mergeCell ref="Q127:U127"/>
    <mergeCell ref="Q126:U126"/>
    <mergeCell ref="Q125:U125"/>
    <mergeCell ref="Q124:U124"/>
    <mergeCell ref="Q123:U123"/>
    <mergeCell ref="L98:P98"/>
    <mergeCell ref="Q103:U103"/>
    <mergeCell ref="Q122:U122"/>
    <mergeCell ref="Q121:U121"/>
    <mergeCell ref="L118:P118"/>
    <mergeCell ref="L119:P119"/>
    <mergeCell ref="Q135:U135"/>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B39:K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83:Y83"/>
    <mergeCell ref="W84:Y84"/>
    <mergeCell ref="W85:Y85"/>
    <mergeCell ref="W52:Y52"/>
    <mergeCell ref="W53:Y53"/>
    <mergeCell ref="W54:Y54"/>
    <mergeCell ref="W55:Y55"/>
    <mergeCell ref="W56:Y56"/>
    <mergeCell ref="Z50:AB50"/>
    <mergeCell ref="Z89:AB89"/>
    <mergeCell ref="Z90:AB90"/>
    <mergeCell ref="Z91:AB91"/>
    <mergeCell ref="Z92:AB92"/>
    <mergeCell ref="Z93:AB93"/>
    <mergeCell ref="Z94:AB94"/>
    <mergeCell ref="Z97:AB97"/>
    <mergeCell ref="Z98:AB98"/>
    <mergeCell ref="Z99:AB99"/>
    <mergeCell ref="Z127:AB127"/>
    <mergeCell ref="Z128:AB128"/>
    <mergeCell ref="Z129:AB129"/>
    <mergeCell ref="Z130:AB130"/>
    <mergeCell ref="Z131:AB131"/>
    <mergeCell ref="Z132:AB132"/>
    <mergeCell ref="Z123:AB123"/>
    <mergeCell ref="Z119:AB119"/>
    <mergeCell ref="Z120:AB120"/>
    <mergeCell ref="Z121:AB121"/>
    <mergeCell ref="Z122:AB122"/>
    <mergeCell ref="Z133:AB133"/>
    <mergeCell ref="Z134:AB134"/>
    <mergeCell ref="Z135:AB135"/>
    <mergeCell ref="Z72:AB72"/>
    <mergeCell ref="Z73:AB73"/>
    <mergeCell ref="Z74:AB74"/>
    <mergeCell ref="Z75:AB75"/>
    <mergeCell ref="Z76:AB76"/>
    <mergeCell ref="Z77:AB77"/>
    <mergeCell ref="Z78:AB78"/>
    <mergeCell ref="Z79:AB79"/>
    <mergeCell ref="Z80:AB80"/>
    <mergeCell ref="Z81:AB81"/>
    <mergeCell ref="Z82:AB82"/>
    <mergeCell ref="Z83:AB83"/>
    <mergeCell ref="Z84:AB84"/>
    <mergeCell ref="Z85:AB85"/>
    <mergeCell ref="Z86:AB86"/>
    <mergeCell ref="Z87:AB87"/>
    <mergeCell ref="Z88:AB88"/>
    <mergeCell ref="Z95:AB95"/>
    <mergeCell ref="Z124:AB124"/>
    <mergeCell ref="Z125:AB125"/>
    <mergeCell ref="Z126:AB126"/>
    <mergeCell ref="W114:Y114"/>
    <mergeCell ref="W115:Y115"/>
    <mergeCell ref="W116:Y116"/>
    <mergeCell ref="W117:Y117"/>
    <mergeCell ref="W118:Y118"/>
    <mergeCell ref="W119:Y119"/>
    <mergeCell ref="W121:Y121"/>
    <mergeCell ref="W120:Y120"/>
    <mergeCell ref="Z96:AB96"/>
    <mergeCell ref="W103:Y103"/>
    <mergeCell ref="W113:Y113"/>
    <mergeCell ref="Z114:AB114"/>
    <mergeCell ref="Z115:AB115"/>
    <mergeCell ref="Z116:AB116"/>
    <mergeCell ref="Z117:AB117"/>
    <mergeCell ref="Z118:AB118"/>
    <mergeCell ref="W110:Y110"/>
    <mergeCell ref="W111:Y111"/>
    <mergeCell ref="W112:Y112"/>
    <mergeCell ref="Z100:AB100"/>
    <mergeCell ref="Z101:AB101"/>
    <mergeCell ref="Z102:AB102"/>
    <mergeCell ref="W109:Y109"/>
    <mergeCell ref="Z105:AB105"/>
    <mergeCell ref="W135:Y135"/>
    <mergeCell ref="W134:Y134"/>
    <mergeCell ref="W133:Y133"/>
    <mergeCell ref="W132:Y132"/>
    <mergeCell ref="W131:Y131"/>
    <mergeCell ref="W130:Y130"/>
    <mergeCell ref="W129:Y129"/>
    <mergeCell ref="W128:Y128"/>
    <mergeCell ref="W127:Y127"/>
    <mergeCell ref="W39:Y39"/>
    <mergeCell ref="W40:Y40"/>
    <mergeCell ref="W41:Y41"/>
    <mergeCell ref="W42:Y42"/>
    <mergeCell ref="W43:Y43"/>
    <mergeCell ref="W44:Y44"/>
    <mergeCell ref="W91:Y91"/>
    <mergeCell ref="W90:Y90"/>
    <mergeCell ref="W89:Y89"/>
    <mergeCell ref="W88:Y88"/>
    <mergeCell ref="W87:Y87"/>
    <mergeCell ref="W80:Y80"/>
    <mergeCell ref="W79:Y79"/>
    <mergeCell ref="W78:Y78"/>
    <mergeCell ref="W57:Y57"/>
    <mergeCell ref="W58:Y58"/>
    <mergeCell ref="W59:Y59"/>
    <mergeCell ref="W60:Y60"/>
    <mergeCell ref="W61:Y61"/>
    <mergeCell ref="W86:Y86"/>
    <mergeCell ref="W77:Y77"/>
    <mergeCell ref="W76:Y76"/>
    <mergeCell ref="W75:Y75"/>
    <mergeCell ref="W74:Y74"/>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B38:K38"/>
    <mergeCell ref="L38:P38"/>
    <mergeCell ref="Q38:U38"/>
    <mergeCell ref="W38:Y38"/>
    <mergeCell ref="Z38:AB38"/>
    <mergeCell ref="AD33:AD34"/>
    <mergeCell ref="A30:AG30"/>
    <mergeCell ref="AF33:AF34"/>
    <mergeCell ref="W126:Y126"/>
    <mergeCell ref="W125:Y125"/>
    <mergeCell ref="W124:Y124"/>
    <mergeCell ref="W123:Y123"/>
    <mergeCell ref="W122:Y122"/>
    <mergeCell ref="A31:AF31"/>
    <mergeCell ref="W104:Y104"/>
    <mergeCell ref="W105:Y105"/>
    <mergeCell ref="W106:Y106"/>
    <mergeCell ref="W107:Y107"/>
    <mergeCell ref="W108:Y108"/>
    <mergeCell ref="W45:Y45"/>
    <mergeCell ref="Z33:AB34"/>
    <mergeCell ref="Z35:AB35"/>
    <mergeCell ref="Z36:AB36"/>
    <mergeCell ref="Z37:AB37"/>
  </mergeCells>
  <phoneticPr fontId="13"/>
  <conditionalFormatting sqref="AG35:AG135">
    <cfRule type="expression" dxfId="83" priority="2378">
      <formula>$AG35="数式を削除して手入力"</formula>
    </cfRule>
  </conditionalFormatting>
  <dataValidations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135"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135" xr:uid="{66348D41-B832-432D-AE11-3C2691DEDF5E}">
      <formula1>INDIRECT(Q35)</formula1>
    </dataValidation>
    <dataValidation type="list" allowBlank="1" showInputMessage="1" showErrorMessage="1" sqref="V36:V40" xr:uid="{F3281AF2-FC3B-4B42-B635-EDFFD5EF86F7}">
      <formula1>INDIRECT($Q36)</formula1>
    </dataValidation>
  </dataValidations>
  <hyperlinks>
    <hyperlink ref="L26" r:id="rId1" display="aaa@aaa.com" xr:uid="{94BCAFBD-A696-4CEB-821A-4F7179EA9B9B}"/>
  </hyperlinks>
  <pageMargins left="0.7" right="0.7" top="0.75" bottom="0.75" header="0.3" footer="0.3"/>
  <pageSetup paperSize="9" scale="43" orientation="portrait" r:id="rId2"/>
  <rowBreaks count="1" manualBreakCount="1">
    <brk id="27" max="32" man="1"/>
  </rowBreaks>
  <drawing r:id="rId3"/>
  <legacyDrawing r:id="rId4"/>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1748AE2-D3F3-4029-8C6E-F82606D98F83}">
          <x14:formula1>
            <xm:f>【参考】数式用!$A$4:$A$57</xm:f>
          </x14:formula1>
          <xm:sqref>Z35:AB135</xm:sqref>
        </x14:dataValidation>
        <x14:dataValidation type="list" allowBlank="1" showInputMessage="1" showErrorMessage="1" xr:uid="{9DAE3ADC-92C3-476C-AED7-ABA654180295}">
          <x14:formula1>
            <xm:f>【参考】数式用!$T$3:$T$49</xm:f>
          </x14:formula1>
          <xm:sqref>Q35:U135</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view="pageBreakPreview" zoomScale="110" zoomScaleNormal="120" zoomScaleSheetLayoutView="110" zoomScalePageLayoutView="64" workbookViewId="0">
      <selection activeCell="AI64" sqref="AI64:AJ64"/>
    </sheetView>
  </sheetViews>
  <sheetFormatPr defaultColWidth="2.625" defaultRowHeight="13.5"/>
  <cols>
    <col min="1" max="1" width="2.125" customWidth="1"/>
    <col min="2" max="2" width="3.125" customWidth="1"/>
    <col min="3" max="4" width="2.375" customWidth="1"/>
    <col min="5" max="5" width="3" customWidth="1"/>
    <col min="6" max="14" width="2.375" customWidth="1"/>
    <col min="15" max="15" width="1.375" customWidth="1"/>
    <col min="16" max="16" width="8.125" customWidth="1"/>
    <col min="17" max="18" width="2.375" customWidth="1"/>
    <col min="19" max="19" width="3.375" customWidth="1"/>
    <col min="20" max="28" width="2.375" customWidth="1"/>
    <col min="29" max="29" width="3.375" customWidth="1"/>
    <col min="30" max="30" width="4.625" customWidth="1"/>
    <col min="31" max="35" width="2.375" customWidth="1"/>
    <col min="36" max="36" width="4.375" customWidth="1"/>
    <col min="37" max="37" width="7.375" customWidth="1"/>
    <col min="38" max="38" width="2.375" customWidth="1"/>
    <col min="39" max="39" width="7.375" customWidth="1"/>
    <col min="40" max="40" width="8.125" customWidth="1"/>
    <col min="41" max="41" width="5.375" customWidth="1"/>
    <col min="42" max="42" width="6" customWidth="1"/>
    <col min="43" max="43" width="7.375" customWidth="1"/>
    <col min="44" max="44" width="9.375" customWidth="1"/>
    <col min="45" max="45" width="5.625" customWidth="1"/>
    <col min="46" max="46" width="8.375" customWidth="1"/>
    <col min="47" max="47" width="8" customWidth="1"/>
    <col min="48" max="48" width="6" customWidth="1"/>
    <col min="49" max="49" width="7.375" customWidth="1"/>
    <col min="50" max="50" width="4.875" customWidth="1"/>
    <col min="51" max="51" width="6.625" customWidth="1"/>
    <col min="52" max="52" width="6.375" customWidth="1"/>
    <col min="53" max="54" width="9.375" customWidth="1"/>
    <col min="55" max="58" width="4.125" customWidth="1"/>
    <col min="59" max="59" width="9.875" customWidth="1"/>
    <col min="60" max="60" width="9.375" customWidth="1"/>
    <col min="61" max="63" width="4.125" customWidth="1"/>
    <col min="66" max="66" width="9" customWidth="1"/>
  </cols>
  <sheetData>
    <row r="1" spans="1:51" ht="18.75" customHeight="1" thickBot="1">
      <c r="A1" s="18"/>
      <c r="B1" s="116" t="s">
        <v>44</v>
      </c>
      <c r="C1" s="23"/>
      <c r="D1" s="23"/>
      <c r="E1" s="23"/>
      <c r="F1" s="23"/>
      <c r="G1" s="23"/>
      <c r="H1" s="23"/>
      <c r="I1" s="23"/>
      <c r="J1" s="23"/>
      <c r="K1" s="23"/>
      <c r="L1" s="23"/>
      <c r="M1" s="23"/>
      <c r="N1" s="23"/>
      <c r="O1" s="23"/>
      <c r="P1" s="23"/>
      <c r="Q1" s="23"/>
      <c r="R1" s="23"/>
      <c r="S1" s="23"/>
      <c r="T1" s="23"/>
      <c r="U1" s="23"/>
      <c r="V1" s="23"/>
      <c r="W1" s="23"/>
      <c r="X1" s="23"/>
      <c r="Y1" s="23"/>
      <c r="Z1" s="96"/>
      <c r="AA1" s="96"/>
      <c r="AB1" s="96"/>
      <c r="AC1" s="912" t="s">
        <v>3</v>
      </c>
      <c r="AD1" s="912"/>
      <c r="AE1" s="912"/>
      <c r="AF1" s="912" t="str">
        <f>IF(基本情報入力シート!C11="","",基本情報入力シート!C11)</f>
        <v>東京都</v>
      </c>
      <c r="AG1" s="912"/>
      <c r="AH1" s="912"/>
      <c r="AI1" s="912"/>
      <c r="AJ1" s="912"/>
      <c r="AK1" s="913"/>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600000000000001" customHeight="1">
      <c r="A3" s="18"/>
      <c r="B3" s="914" t="s">
        <v>2234</v>
      </c>
      <c r="C3" s="914"/>
      <c r="D3" s="914"/>
      <c r="E3" s="914"/>
      <c r="F3" s="914"/>
      <c r="G3" s="914"/>
      <c r="H3" s="914"/>
      <c r="I3" s="914"/>
      <c r="J3" s="914"/>
      <c r="K3" s="914"/>
      <c r="L3" s="914"/>
      <c r="M3" s="914"/>
      <c r="N3" s="914"/>
      <c r="O3" s="914"/>
      <c r="P3" s="914"/>
      <c r="Q3" s="914"/>
      <c r="R3" s="914"/>
      <c r="S3" s="914"/>
      <c r="T3" s="914"/>
      <c r="U3" s="914"/>
      <c r="V3" s="914"/>
      <c r="W3" s="914"/>
      <c r="X3" s="914"/>
      <c r="Y3" s="914"/>
      <c r="Z3" s="914"/>
      <c r="AA3" s="914"/>
      <c r="AB3" s="914"/>
      <c r="AC3" s="914"/>
      <c r="AD3" s="914"/>
      <c r="AE3" s="914"/>
      <c r="AF3" s="914"/>
      <c r="AG3" s="914"/>
      <c r="AH3" s="914"/>
      <c r="AI3" s="914"/>
      <c r="AJ3" s="914"/>
      <c r="AK3" s="914"/>
      <c r="AL3" s="117"/>
      <c r="AM3" s="118"/>
      <c r="AN3" s="18"/>
      <c r="AO3" s="18"/>
      <c r="AP3" s="18"/>
      <c r="AQ3" s="18"/>
      <c r="AR3" s="18"/>
      <c r="AS3" s="18"/>
      <c r="AT3" s="18"/>
      <c r="AU3" s="18"/>
      <c r="AV3" s="18"/>
      <c r="AW3" s="18"/>
      <c r="AX3" s="18"/>
      <c r="AY3" s="18"/>
    </row>
    <row r="4" spans="1:51" ht="19.5" customHeight="1">
      <c r="A4" s="18"/>
      <c r="B4" s="21" t="s">
        <v>45</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5" customHeight="1">
      <c r="A5" s="19"/>
      <c r="B5" s="915" t="s">
        <v>8</v>
      </c>
      <c r="C5" s="915"/>
      <c r="D5" s="915"/>
      <c r="E5" s="915"/>
      <c r="F5" s="915"/>
      <c r="G5" s="915"/>
      <c r="H5" s="910" t="str">
        <f>IF(基本情報入力シート!L15="","",基本情報入力シート!L15)</f>
        <v>○○サービスジギョウショ</v>
      </c>
      <c r="I5" s="910"/>
      <c r="J5" s="910"/>
      <c r="K5" s="910"/>
      <c r="L5" s="910"/>
      <c r="M5" s="910"/>
      <c r="N5" s="910"/>
      <c r="O5" s="910"/>
      <c r="P5" s="910"/>
      <c r="Q5" s="910"/>
      <c r="R5" s="910"/>
      <c r="S5" s="910"/>
      <c r="T5" s="910"/>
      <c r="U5" s="910"/>
      <c r="V5" s="910"/>
      <c r="W5" s="910"/>
      <c r="X5" s="910"/>
      <c r="Y5" s="910"/>
      <c r="Z5" s="910"/>
      <c r="AA5" s="910"/>
      <c r="AB5" s="910"/>
      <c r="AC5" s="910"/>
      <c r="AD5" s="910"/>
      <c r="AE5" s="910"/>
      <c r="AF5" s="910"/>
      <c r="AG5" s="910"/>
      <c r="AH5" s="910"/>
      <c r="AI5" s="910"/>
      <c r="AJ5" s="910"/>
      <c r="AK5" s="911"/>
      <c r="AL5" s="19"/>
      <c r="AM5" s="19"/>
      <c r="AN5" s="19"/>
      <c r="AO5" s="19"/>
      <c r="AP5" s="19"/>
      <c r="AQ5" s="19"/>
      <c r="AR5" s="19"/>
      <c r="AS5" s="19"/>
      <c r="AT5" s="19"/>
      <c r="AU5" s="19"/>
      <c r="AV5" s="19"/>
      <c r="AW5" s="19"/>
      <c r="AX5" s="19"/>
      <c r="AY5" s="19"/>
    </row>
    <row r="6" spans="1:51" s="13" customFormat="1" ht="25.5" customHeight="1">
      <c r="A6" s="19"/>
      <c r="B6" s="916" t="s">
        <v>46</v>
      </c>
      <c r="C6" s="916"/>
      <c r="D6" s="916"/>
      <c r="E6" s="916"/>
      <c r="F6" s="916"/>
      <c r="G6" s="916"/>
      <c r="H6" s="917" t="str">
        <f>IF(基本情報入力シート!L16="","",基本情報入力シート!L16)</f>
        <v>○○サービス事業所</v>
      </c>
      <c r="I6" s="917"/>
      <c r="J6" s="917"/>
      <c r="K6" s="917"/>
      <c r="L6" s="917"/>
      <c r="M6" s="917"/>
      <c r="N6" s="917"/>
      <c r="O6" s="917"/>
      <c r="P6" s="917"/>
      <c r="Q6" s="917"/>
      <c r="R6" s="917"/>
      <c r="S6" s="917"/>
      <c r="T6" s="917"/>
      <c r="U6" s="917"/>
      <c r="V6" s="917"/>
      <c r="W6" s="917"/>
      <c r="X6" s="917"/>
      <c r="Y6" s="917"/>
      <c r="Z6" s="917"/>
      <c r="AA6" s="917"/>
      <c r="AB6" s="917"/>
      <c r="AC6" s="917"/>
      <c r="AD6" s="917"/>
      <c r="AE6" s="917"/>
      <c r="AF6" s="917"/>
      <c r="AG6" s="917"/>
      <c r="AH6" s="917"/>
      <c r="AI6" s="917"/>
      <c r="AJ6" s="917"/>
      <c r="AK6" s="918"/>
      <c r="AL6" s="19"/>
      <c r="AM6" s="19"/>
      <c r="AN6" s="19"/>
      <c r="AO6" s="19"/>
      <c r="AP6" s="19"/>
      <c r="AQ6" s="19"/>
      <c r="AR6" s="19"/>
      <c r="AS6" s="19"/>
      <c r="AT6" s="19"/>
      <c r="AU6" s="19"/>
      <c r="AV6" s="19"/>
      <c r="AW6" s="19"/>
      <c r="AX6" s="19"/>
      <c r="AY6" s="19"/>
    </row>
    <row r="7" spans="1:51" s="13" customFormat="1" ht="12.75" customHeight="1">
      <c r="A7" s="19"/>
      <c r="B7" s="904" t="s">
        <v>47</v>
      </c>
      <c r="C7" s="904"/>
      <c r="D7" s="904"/>
      <c r="E7" s="904"/>
      <c r="F7" s="904"/>
      <c r="G7" s="904"/>
      <c r="H7" s="120" t="s">
        <v>11</v>
      </c>
      <c r="I7" s="905" t="str">
        <f>IF(基本情報入力シート!AO18="－","",基本情報入力シート!AO18)</f>
        <v>100-１２３４</v>
      </c>
      <c r="J7" s="905"/>
      <c r="K7" s="905"/>
      <c r="L7" s="905"/>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904"/>
      <c r="C8" s="904"/>
      <c r="D8" s="904"/>
      <c r="E8" s="904"/>
      <c r="F8" s="904"/>
      <c r="G8" s="904"/>
      <c r="H8" s="906" t="str">
        <f>IF(基本情報入力シート!L18="","",基本情報入力シート!L18)</f>
        <v>東京都千代田区霞が関1-2-2</v>
      </c>
      <c r="I8" s="906"/>
      <c r="J8" s="906"/>
      <c r="K8" s="906"/>
      <c r="L8" s="906"/>
      <c r="M8" s="906"/>
      <c r="N8" s="906"/>
      <c r="O8" s="906"/>
      <c r="P8" s="906"/>
      <c r="Q8" s="906"/>
      <c r="R8" s="906"/>
      <c r="S8" s="906"/>
      <c r="T8" s="906"/>
      <c r="U8" s="906"/>
      <c r="V8" s="906"/>
      <c r="W8" s="906"/>
      <c r="X8" s="906"/>
      <c r="Y8" s="906"/>
      <c r="Z8" s="906"/>
      <c r="AA8" s="906"/>
      <c r="AB8" s="906"/>
      <c r="AC8" s="906"/>
      <c r="AD8" s="906"/>
      <c r="AE8" s="906"/>
      <c r="AF8" s="906"/>
      <c r="AG8" s="906"/>
      <c r="AH8" s="906"/>
      <c r="AI8" s="906"/>
      <c r="AJ8" s="906"/>
      <c r="AK8" s="906"/>
      <c r="AL8" s="19"/>
      <c r="AM8" s="19"/>
      <c r="AN8" s="19"/>
      <c r="AO8" s="19"/>
      <c r="AP8" s="19"/>
      <c r="AQ8" s="19"/>
      <c r="AR8" s="19"/>
      <c r="AS8" s="19"/>
      <c r="AT8" s="19"/>
      <c r="AU8" s="19"/>
      <c r="AV8" s="19"/>
      <c r="AW8" s="19"/>
      <c r="AX8" s="19"/>
      <c r="AY8" s="19" t="b">
        <v>1</v>
      </c>
    </row>
    <row r="9" spans="1:51" s="13" customFormat="1" ht="16.5" customHeight="1">
      <c r="A9" s="19"/>
      <c r="B9" s="904"/>
      <c r="C9" s="904"/>
      <c r="D9" s="904"/>
      <c r="E9" s="904"/>
      <c r="F9" s="904"/>
      <c r="G9" s="904"/>
      <c r="H9" s="907" t="str">
        <f>IF(基本情報入力シート!L19="","",基本情報入力シート!L19)</f>
        <v>○○ビル○○号室</v>
      </c>
      <c r="I9" s="907"/>
      <c r="J9" s="907"/>
      <c r="K9" s="907"/>
      <c r="L9" s="907"/>
      <c r="M9" s="907"/>
      <c r="N9" s="907"/>
      <c r="O9" s="907"/>
      <c r="P9" s="907"/>
      <c r="Q9" s="907"/>
      <c r="R9" s="907"/>
      <c r="S9" s="907"/>
      <c r="T9" s="907"/>
      <c r="U9" s="907"/>
      <c r="V9" s="907"/>
      <c r="W9" s="907"/>
      <c r="X9" s="907"/>
      <c r="Y9" s="907"/>
      <c r="Z9" s="907"/>
      <c r="AA9" s="907"/>
      <c r="AB9" s="907"/>
      <c r="AC9" s="907"/>
      <c r="AD9" s="907"/>
      <c r="AE9" s="907"/>
      <c r="AF9" s="907"/>
      <c r="AG9" s="907"/>
      <c r="AH9" s="907"/>
      <c r="AI9" s="907"/>
      <c r="AJ9" s="907"/>
      <c r="AK9" s="908"/>
      <c r="AL9" s="19"/>
      <c r="AM9" s="19"/>
      <c r="AN9" s="19"/>
      <c r="AO9" s="19"/>
      <c r="AP9" s="19"/>
      <c r="AQ9" s="19"/>
      <c r="AR9" s="19"/>
      <c r="AS9" s="19"/>
      <c r="AT9" s="19"/>
      <c r="AU9" s="19"/>
      <c r="AV9" s="19"/>
      <c r="AW9" s="19"/>
      <c r="AX9" s="19"/>
      <c r="AY9" s="19"/>
    </row>
    <row r="10" spans="1:51" s="13" customFormat="1" ht="13.5" customHeight="1">
      <c r="A10" s="19"/>
      <c r="B10" s="909" t="s">
        <v>8</v>
      </c>
      <c r="C10" s="909"/>
      <c r="D10" s="909"/>
      <c r="E10" s="909"/>
      <c r="F10" s="909"/>
      <c r="G10" s="909"/>
      <c r="H10" s="910" t="str">
        <f>IF(基本情報入力シート!L23="","",基本情報入力シート!L23)</f>
        <v>コウロウ　ハナコ</v>
      </c>
      <c r="I10" s="910"/>
      <c r="J10" s="910"/>
      <c r="K10" s="910"/>
      <c r="L10" s="910"/>
      <c r="M10" s="910"/>
      <c r="N10" s="910"/>
      <c r="O10" s="910"/>
      <c r="P10" s="910"/>
      <c r="Q10" s="910"/>
      <c r="R10" s="910"/>
      <c r="S10" s="910"/>
      <c r="T10" s="910"/>
      <c r="U10" s="910"/>
      <c r="V10" s="910"/>
      <c r="W10" s="910"/>
      <c r="X10" s="910"/>
      <c r="Y10" s="910"/>
      <c r="Z10" s="910"/>
      <c r="AA10" s="910"/>
      <c r="AB10" s="910"/>
      <c r="AC10" s="910"/>
      <c r="AD10" s="910"/>
      <c r="AE10" s="910"/>
      <c r="AF10" s="910"/>
      <c r="AG10" s="910"/>
      <c r="AH10" s="910"/>
      <c r="AI10" s="910"/>
      <c r="AJ10" s="910"/>
      <c r="AK10" s="911"/>
      <c r="AL10" s="19"/>
      <c r="AM10" s="19"/>
      <c r="AN10" s="19"/>
      <c r="AO10" s="19"/>
      <c r="AP10" s="19"/>
      <c r="AQ10" s="19"/>
      <c r="AR10" s="19"/>
      <c r="AS10" s="19"/>
      <c r="AT10" s="19"/>
      <c r="AU10" s="19"/>
      <c r="AV10" s="19"/>
      <c r="AW10" s="19"/>
      <c r="AX10" s="19"/>
      <c r="AY10" s="19"/>
    </row>
    <row r="11" spans="1:51" s="13" customFormat="1" ht="22.5" customHeight="1">
      <c r="A11" s="19"/>
      <c r="B11" s="896" t="s">
        <v>48</v>
      </c>
      <c r="C11" s="896"/>
      <c r="D11" s="896"/>
      <c r="E11" s="896"/>
      <c r="F11" s="896"/>
      <c r="G11" s="896"/>
      <c r="H11" s="897" t="str">
        <f>IF(基本情報入力シート!L24="","",基本情報入力シート!L24)</f>
        <v>厚労　花子</v>
      </c>
      <c r="I11" s="897"/>
      <c r="J11" s="897"/>
      <c r="K11" s="897"/>
      <c r="L11" s="897"/>
      <c r="M11" s="897"/>
      <c r="N11" s="897"/>
      <c r="O11" s="897"/>
      <c r="P11" s="897"/>
      <c r="Q11" s="897"/>
      <c r="R11" s="897"/>
      <c r="S11" s="897"/>
      <c r="T11" s="897"/>
      <c r="U11" s="897"/>
      <c r="V11" s="897"/>
      <c r="W11" s="897"/>
      <c r="X11" s="897"/>
      <c r="Y11" s="897"/>
      <c r="Z11" s="897"/>
      <c r="AA11" s="897"/>
      <c r="AB11" s="897"/>
      <c r="AC11" s="897"/>
      <c r="AD11" s="897"/>
      <c r="AE11" s="897"/>
      <c r="AF11" s="897"/>
      <c r="AG11" s="897"/>
      <c r="AH11" s="897"/>
      <c r="AI11" s="897"/>
      <c r="AJ11" s="897"/>
      <c r="AK11" s="898"/>
      <c r="AL11" s="19"/>
      <c r="AM11" s="19"/>
      <c r="AN11" s="19"/>
      <c r="AO11" s="19"/>
      <c r="AP11" s="19"/>
      <c r="AQ11" s="19"/>
      <c r="AR11" s="19"/>
      <c r="AS11" s="19"/>
      <c r="AT11" s="19"/>
      <c r="AU11" s="19"/>
      <c r="AV11" s="19"/>
      <c r="AW11" s="19"/>
      <c r="AX11" s="19"/>
      <c r="AY11" s="19"/>
    </row>
    <row r="12" spans="1:51" s="13" customFormat="1" ht="18.75" customHeight="1">
      <c r="A12" s="19"/>
      <c r="B12" s="899" t="s">
        <v>49</v>
      </c>
      <c r="C12" s="899"/>
      <c r="D12" s="899"/>
      <c r="E12" s="899"/>
      <c r="F12" s="899"/>
      <c r="G12" s="899"/>
      <c r="H12" s="899" t="s">
        <v>26</v>
      </c>
      <c r="I12" s="900"/>
      <c r="J12" s="900"/>
      <c r="K12" s="900"/>
      <c r="L12" s="901" t="str">
        <f>IF(基本情報入力シート!L25="","",基本情報入力シート!L25)</f>
        <v>03-3571-XXXX</v>
      </c>
      <c r="M12" s="901"/>
      <c r="N12" s="901"/>
      <c r="O12" s="901"/>
      <c r="P12" s="901"/>
      <c r="Q12" s="901"/>
      <c r="R12" s="901"/>
      <c r="S12" s="901"/>
      <c r="T12" s="901"/>
      <c r="U12" s="901"/>
      <c r="V12" s="902" t="s">
        <v>27</v>
      </c>
      <c r="W12" s="902"/>
      <c r="X12" s="902"/>
      <c r="Y12" s="902"/>
      <c r="Z12" s="901" t="str">
        <f>IF(基本情報入力シート!L26="","",基本情報入力シート!L26)</f>
        <v>aaa@aaa.aa.jp</v>
      </c>
      <c r="AA12" s="901"/>
      <c r="AB12" s="901"/>
      <c r="AC12" s="901"/>
      <c r="AD12" s="901"/>
      <c r="AE12" s="901"/>
      <c r="AF12" s="901"/>
      <c r="AG12" s="901"/>
      <c r="AH12" s="901"/>
      <c r="AI12" s="901"/>
      <c r="AJ12" s="901"/>
      <c r="AK12" s="903"/>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 customHeight="1">
      <c r="A14" s="18"/>
      <c r="B14" s="122" t="s">
        <v>50</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5" customHeight="1" thickBot="1">
      <c r="B15" s="873" t="s">
        <v>51</v>
      </c>
      <c r="C15" s="873"/>
      <c r="D15" s="873"/>
      <c r="E15" s="873"/>
      <c r="F15" s="873"/>
      <c r="G15" s="873"/>
      <c r="H15" s="873"/>
      <c r="I15" s="873"/>
      <c r="J15" s="873"/>
      <c r="K15" s="873"/>
      <c r="L15" s="873"/>
      <c r="M15" s="873"/>
      <c r="N15" s="873"/>
      <c r="O15" s="873"/>
      <c r="P15" s="873"/>
      <c r="Q15" s="887"/>
      <c r="R15" s="887"/>
      <c r="S15" s="887"/>
      <c r="T15" s="887"/>
      <c r="U15" s="887"/>
      <c r="V15" s="887"/>
      <c r="W15" s="888"/>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25" customHeight="1" thickBot="1">
      <c r="A16" s="18"/>
      <c r="B16" s="124" t="s">
        <v>52</v>
      </c>
      <c r="C16" s="869" t="s">
        <v>53</v>
      </c>
      <c r="D16" s="869"/>
      <c r="E16" s="869"/>
      <c r="F16" s="869"/>
      <c r="G16" s="869"/>
      <c r="H16" s="869"/>
      <c r="I16" s="869"/>
      <c r="J16" s="869"/>
      <c r="K16" s="869"/>
      <c r="L16" s="869"/>
      <c r="M16" s="869"/>
      <c r="N16" s="869"/>
      <c r="O16" s="869"/>
      <c r="P16" s="869"/>
      <c r="Q16" s="889">
        <f>SUM('別紙様式2-2（個票（４、５月））'!L5:N5,'別紙様式2-3（個票（６月以降））'!K6)</f>
        <v>37754478</v>
      </c>
      <c r="R16" s="890"/>
      <c r="S16" s="890"/>
      <c r="T16" s="890"/>
      <c r="U16" s="890"/>
      <c r="V16" s="891"/>
      <c r="W16" s="126" t="s">
        <v>54</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25" customHeight="1" thickBot="1">
      <c r="A17" s="18"/>
      <c r="B17" s="385"/>
      <c r="C17" s="712" t="s">
        <v>2461</v>
      </c>
      <c r="D17" s="762"/>
      <c r="E17" s="762"/>
      <c r="F17" s="762"/>
      <c r="G17" s="762"/>
      <c r="H17" s="762"/>
      <c r="I17" s="762"/>
      <c r="J17" s="762"/>
      <c r="K17" s="762"/>
      <c r="L17" s="762"/>
      <c r="M17" s="762"/>
      <c r="N17" s="762"/>
      <c r="O17" s="762"/>
      <c r="P17" s="762"/>
      <c r="Q17" s="889">
        <f>SUM('別紙様式2-2（個票（４、５月））'!L7:N7,'別紙様式2-3（個票（６月以降））'!K8:O8)</f>
        <v>9174220</v>
      </c>
      <c r="R17" s="892"/>
      <c r="S17" s="892"/>
      <c r="T17" s="892"/>
      <c r="U17" s="892"/>
      <c r="V17" s="893"/>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450000000000003" customHeight="1" thickBot="1">
      <c r="A18" s="18"/>
      <c r="B18" s="127" t="s">
        <v>55</v>
      </c>
      <c r="C18" s="894" t="s">
        <v>2236</v>
      </c>
      <c r="D18" s="894"/>
      <c r="E18" s="894"/>
      <c r="F18" s="894"/>
      <c r="G18" s="894"/>
      <c r="H18" s="894"/>
      <c r="I18" s="894"/>
      <c r="J18" s="894"/>
      <c r="K18" s="894"/>
      <c r="L18" s="894"/>
      <c r="M18" s="894"/>
      <c r="N18" s="894"/>
      <c r="O18" s="894"/>
      <c r="P18" s="894"/>
      <c r="Q18" s="895">
        <v>1000000000</v>
      </c>
      <c r="R18" s="895"/>
      <c r="S18" s="895"/>
      <c r="T18" s="895"/>
      <c r="U18" s="895"/>
      <c r="V18" s="895"/>
      <c r="W18" s="129" t="s">
        <v>54</v>
      </c>
      <c r="X18" s="23" t="s">
        <v>56</v>
      </c>
      <c r="Y18" s="528" t="str">
        <f>IF(H6="","",IF(Q18&gt;=Q16,"○","×"))</f>
        <v>○</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6"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4.95" customHeight="1" thickBot="1">
      <c r="A20" s="23"/>
      <c r="B20" s="873" t="s">
        <v>2237</v>
      </c>
      <c r="C20" s="874"/>
      <c r="D20" s="874"/>
      <c r="E20" s="874"/>
      <c r="F20" s="874"/>
      <c r="G20" s="874"/>
      <c r="H20" s="874"/>
      <c r="I20" s="874"/>
      <c r="J20" s="874"/>
      <c r="K20" s="874"/>
      <c r="L20" s="874"/>
      <c r="M20" s="874"/>
      <c r="N20" s="874"/>
      <c r="O20" s="874"/>
      <c r="P20" s="874"/>
      <c r="Q20" s="875"/>
      <c r="R20" s="875"/>
      <c r="S20" s="875"/>
      <c r="T20" s="875"/>
      <c r="U20" s="875"/>
      <c r="V20" s="875"/>
      <c r="W20" s="876"/>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4.95" customHeight="1" thickBot="1">
      <c r="A21" s="23"/>
      <c r="B21" s="127" t="s">
        <v>2238</v>
      </c>
      <c r="C21" s="762" t="s">
        <v>2239</v>
      </c>
      <c r="D21" s="762"/>
      <c r="E21" s="762"/>
      <c r="F21" s="762"/>
      <c r="G21" s="762"/>
      <c r="H21" s="762"/>
      <c r="I21" s="762"/>
      <c r="J21" s="762"/>
      <c r="K21" s="762"/>
      <c r="L21" s="762"/>
      <c r="M21" s="762"/>
      <c r="N21" s="762"/>
      <c r="O21" s="762"/>
      <c r="P21" s="710"/>
      <c r="Q21" s="877">
        <f>Q17</f>
        <v>9174220</v>
      </c>
      <c r="R21" s="878"/>
      <c r="S21" s="878"/>
      <c r="T21" s="878"/>
      <c r="U21" s="878"/>
      <c r="V21" s="879"/>
      <c r="W21" s="125" t="s">
        <v>54</v>
      </c>
      <c r="X21" s="23" t="s">
        <v>56</v>
      </c>
      <c r="Y21" s="880" t="str">
        <f>IFERROR(IF(Q21&lt;=0,"",IF(Q22&gt;=Q21,"○","×")),"")</f>
        <v>×</v>
      </c>
      <c r="Z21" s="23" t="s">
        <v>56</v>
      </c>
      <c r="AA21" s="871" t="str">
        <f>IFERROR(IF(Y21="×",IF(Q24&gt;=Q21,"○","×"),""),"")</f>
        <v>○</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5" customHeight="1" thickBot="1">
      <c r="A22" s="23"/>
      <c r="B22" s="127" t="s">
        <v>2240</v>
      </c>
      <c r="C22" s="762" t="s">
        <v>2241</v>
      </c>
      <c r="D22" s="762"/>
      <c r="E22" s="762"/>
      <c r="F22" s="762"/>
      <c r="G22" s="762"/>
      <c r="H22" s="762"/>
      <c r="I22" s="762"/>
      <c r="J22" s="762"/>
      <c r="K22" s="762"/>
      <c r="L22" s="762"/>
      <c r="M22" s="762"/>
      <c r="N22" s="762"/>
      <c r="O22" s="762"/>
      <c r="P22" s="710"/>
      <c r="Q22" s="884">
        <v>9116610</v>
      </c>
      <c r="R22" s="885"/>
      <c r="S22" s="885"/>
      <c r="T22" s="885"/>
      <c r="U22" s="885"/>
      <c r="V22" s="886"/>
      <c r="W22" s="125" t="s">
        <v>54</v>
      </c>
      <c r="X22" s="23" t="s">
        <v>56</v>
      </c>
      <c r="Y22" s="881"/>
      <c r="Z22" s="23"/>
      <c r="AA22" s="882"/>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4.95" customHeight="1" thickBot="1">
      <c r="A23" s="23"/>
      <c r="B23" s="127" t="s">
        <v>2242</v>
      </c>
      <c r="C23" s="762" t="s">
        <v>2243</v>
      </c>
      <c r="D23" s="762"/>
      <c r="E23" s="762"/>
      <c r="F23" s="762"/>
      <c r="G23" s="762"/>
      <c r="H23" s="762"/>
      <c r="I23" s="762"/>
      <c r="J23" s="762"/>
      <c r="K23" s="762"/>
      <c r="L23" s="762"/>
      <c r="M23" s="762"/>
      <c r="N23" s="762"/>
      <c r="O23" s="762"/>
      <c r="P23" s="710"/>
      <c r="Q23" s="884">
        <v>500000</v>
      </c>
      <c r="R23" s="885"/>
      <c r="S23" s="885"/>
      <c r="T23" s="885"/>
      <c r="U23" s="885"/>
      <c r="V23" s="886"/>
      <c r="W23" s="125" t="s">
        <v>54</v>
      </c>
      <c r="X23" s="23"/>
      <c r="Y23" s="23"/>
      <c r="Z23" s="23"/>
      <c r="AA23" s="882"/>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4.95" customHeight="1" thickBot="1">
      <c r="A24" s="23"/>
      <c r="B24" s="127" t="s">
        <v>2244</v>
      </c>
      <c r="C24" s="762" t="s">
        <v>2245</v>
      </c>
      <c r="D24" s="762"/>
      <c r="E24" s="762"/>
      <c r="F24" s="762"/>
      <c r="G24" s="762"/>
      <c r="H24" s="762"/>
      <c r="I24" s="762"/>
      <c r="J24" s="762"/>
      <c r="K24" s="762"/>
      <c r="L24" s="762"/>
      <c r="M24" s="762"/>
      <c r="N24" s="762"/>
      <c r="O24" s="762"/>
      <c r="P24" s="710"/>
      <c r="Q24" s="863">
        <f>Q22+Q23</f>
        <v>9616610</v>
      </c>
      <c r="R24" s="864"/>
      <c r="S24" s="864"/>
      <c r="T24" s="864"/>
      <c r="U24" s="864"/>
      <c r="V24" s="865"/>
      <c r="W24" s="125" t="s">
        <v>54</v>
      </c>
      <c r="X24" s="18"/>
      <c r="Y24" s="18"/>
      <c r="Z24" s="18" t="s">
        <v>56</v>
      </c>
      <c r="AA24" s="883"/>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57</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15" customHeight="1">
      <c r="A26" s="18"/>
      <c r="B26" s="134" t="s">
        <v>58</v>
      </c>
      <c r="C26" s="866" t="s">
        <v>2246</v>
      </c>
      <c r="D26" s="866"/>
      <c r="E26" s="866"/>
      <c r="F26" s="866"/>
      <c r="G26" s="866"/>
      <c r="H26" s="866"/>
      <c r="I26" s="866"/>
      <c r="J26" s="866"/>
      <c r="K26" s="866"/>
      <c r="L26" s="866"/>
      <c r="M26" s="866"/>
      <c r="N26" s="866"/>
      <c r="O26" s="866"/>
      <c r="P26" s="866"/>
      <c r="Q26" s="866"/>
      <c r="R26" s="866"/>
      <c r="S26" s="866"/>
      <c r="T26" s="866"/>
      <c r="U26" s="866"/>
      <c r="V26" s="866"/>
      <c r="W26" s="866"/>
      <c r="X26" s="866"/>
      <c r="Y26" s="866"/>
      <c r="Z26" s="866"/>
      <c r="AA26" s="866"/>
      <c r="AB26" s="866"/>
      <c r="AC26" s="866"/>
      <c r="AD26" s="866"/>
      <c r="AE26" s="866"/>
      <c r="AF26" s="866"/>
      <c r="AG26" s="866"/>
      <c r="AH26" s="866"/>
      <c r="AI26" s="866"/>
      <c r="AJ26" s="866"/>
      <c r="AK26" s="866"/>
      <c r="AL26" s="18"/>
      <c r="AM26" s="18"/>
      <c r="AN26" s="18"/>
      <c r="AO26" s="18"/>
      <c r="AP26" s="18"/>
      <c r="AQ26" s="18"/>
      <c r="AR26" s="18"/>
      <c r="AS26" s="18"/>
      <c r="AT26" s="18"/>
      <c r="AU26" s="18"/>
      <c r="AV26" s="18"/>
      <c r="AW26" s="18"/>
      <c r="AX26" s="18"/>
      <c r="AY26" s="18"/>
    </row>
    <row r="27" spans="1:51" ht="6"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 customHeight="1">
      <c r="A28" s="18"/>
      <c r="B28" s="867" t="s">
        <v>2235</v>
      </c>
      <c r="C28" s="867"/>
      <c r="D28" s="867"/>
      <c r="E28" s="867"/>
      <c r="F28" s="867"/>
      <c r="G28" s="867"/>
      <c r="H28" s="867"/>
      <c r="I28" s="867"/>
      <c r="J28" s="867"/>
      <c r="K28" s="867"/>
      <c r="L28" s="867"/>
      <c r="M28" s="867"/>
      <c r="N28" s="867"/>
      <c r="O28" s="867"/>
      <c r="P28" s="867"/>
      <c r="Q28" s="867"/>
      <c r="R28" s="867"/>
      <c r="S28" s="867"/>
      <c r="T28" s="867"/>
      <c r="U28" s="867"/>
      <c r="V28" s="867"/>
      <c r="W28" s="867"/>
      <c r="X28" s="867"/>
      <c r="Y28" s="867"/>
      <c r="Z28" s="867"/>
      <c r="AA28" s="867"/>
      <c r="AB28" s="867"/>
      <c r="AC28" s="867"/>
      <c r="AD28" s="867"/>
      <c r="AE28" s="867"/>
      <c r="AF28" s="867"/>
      <c r="AG28" s="867"/>
      <c r="AH28" s="867"/>
      <c r="AI28" s="867"/>
      <c r="AJ28" s="867"/>
      <c r="AK28" s="867"/>
      <c r="AL28" s="18"/>
      <c r="AM28" s="18"/>
      <c r="AN28" s="18"/>
      <c r="AO28" s="18"/>
      <c r="AP28" s="18"/>
      <c r="AQ28" s="18"/>
      <c r="AR28" s="18"/>
      <c r="AS28" s="18"/>
      <c r="AT28" s="18"/>
      <c r="AU28" s="18"/>
      <c r="AV28" s="18"/>
      <c r="AW28" s="18"/>
      <c r="AX28" s="18"/>
      <c r="AY28" s="18"/>
    </row>
    <row r="29" spans="1:51" ht="19.149999999999999" customHeight="1" thickBot="1">
      <c r="A29" s="18"/>
      <c r="B29" s="868" t="s">
        <v>59</v>
      </c>
      <c r="C29" s="868"/>
      <c r="D29" s="868"/>
      <c r="E29" s="868"/>
      <c r="F29" s="868"/>
      <c r="G29" s="868"/>
      <c r="H29" s="868"/>
      <c r="I29" s="868"/>
      <c r="J29" s="868"/>
      <c r="K29" s="868"/>
      <c r="L29" s="868"/>
      <c r="M29" s="868"/>
      <c r="N29" s="868"/>
      <c r="O29" s="868"/>
      <c r="P29" s="868"/>
      <c r="Q29" s="868"/>
      <c r="R29" s="868"/>
      <c r="S29" s="868"/>
      <c r="T29" s="868"/>
      <c r="U29" s="868"/>
      <c r="V29" s="868"/>
      <c r="W29" s="868"/>
      <c r="X29" s="868"/>
      <c r="Y29" s="868"/>
      <c r="Z29" s="868"/>
      <c r="AA29" s="868"/>
      <c r="AB29" s="868"/>
      <c r="AC29" s="868"/>
      <c r="AD29" s="868"/>
      <c r="AE29" s="868"/>
      <c r="AF29" s="868"/>
      <c r="AG29" s="868"/>
      <c r="AH29" s="868"/>
      <c r="AI29" s="868"/>
      <c r="AJ29" s="868"/>
      <c r="AK29" s="868"/>
      <c r="AL29" s="18"/>
      <c r="AM29" s="18"/>
      <c r="AN29" s="18"/>
      <c r="AO29" s="18"/>
      <c r="AP29" s="18"/>
      <c r="AQ29" s="18"/>
      <c r="AR29" s="18"/>
      <c r="AS29" s="136"/>
      <c r="AT29" s="18"/>
      <c r="AU29" s="18"/>
      <c r="AV29" s="18"/>
      <c r="AW29" s="18"/>
      <c r="AX29" s="18"/>
      <c r="AY29" s="18"/>
    </row>
    <row r="30" spans="1:51" ht="18" customHeight="1" thickBot="1">
      <c r="A30" s="18"/>
      <c r="B30" s="715" t="s">
        <v>60</v>
      </c>
      <c r="C30" s="715"/>
      <c r="D30" s="715"/>
      <c r="E30" s="715"/>
      <c r="F30" s="715"/>
      <c r="G30" s="715"/>
      <c r="H30" s="715"/>
      <c r="I30" s="715"/>
      <c r="J30" s="715"/>
      <c r="K30" s="715"/>
      <c r="L30" s="715"/>
      <c r="M30" s="715"/>
      <c r="N30" s="715"/>
      <c r="O30" s="715"/>
      <c r="P30" s="715"/>
      <c r="Q30" s="715"/>
      <c r="R30" s="715"/>
      <c r="S30" s="715"/>
      <c r="T30" s="715"/>
      <c r="U30" s="715"/>
      <c r="V30" s="715"/>
      <c r="W30" s="715"/>
      <c r="X30" s="715"/>
      <c r="Y30" s="715"/>
      <c r="Z30" s="715"/>
      <c r="AA30" s="137"/>
      <c r="AB30" s="137"/>
      <c r="AC30" s="137"/>
      <c r="AD30" s="137"/>
      <c r="AE30" s="137"/>
      <c r="AF30" s="137"/>
      <c r="AG30" s="137"/>
      <c r="AH30" s="137"/>
      <c r="AI30" s="137"/>
      <c r="AJ30" s="138"/>
      <c r="AK30" s="139" t="str" cm="1">
        <f t="array" ref="AK30">IF(H6="", "", IF(AND('別紙様式2-2（個票（４、５月））'!AE10:AE10="○",'別紙様式2-3（個票（６月以降））'!AE10:AE10="○"), "○", "×"))</f>
        <v>○</v>
      </c>
      <c r="AL30" s="136"/>
      <c r="AM30" s="18"/>
      <c r="AN30" s="18"/>
      <c r="AO30" s="18"/>
      <c r="AP30" s="18"/>
      <c r="AQ30" s="18"/>
      <c r="AR30" s="136"/>
      <c r="AS30" s="18"/>
      <c r="AT30" s="18"/>
      <c r="AU30" s="18"/>
      <c r="AV30" s="18"/>
      <c r="AW30" s="18"/>
      <c r="AX30" s="18"/>
    </row>
    <row r="31" spans="1:51" ht="18" customHeight="1" thickBot="1">
      <c r="A31" s="18"/>
      <c r="B31" s="140" t="s">
        <v>52</v>
      </c>
      <c r="C31" s="869" t="s">
        <v>61</v>
      </c>
      <c r="D31" s="869"/>
      <c r="E31" s="869"/>
      <c r="F31" s="869"/>
      <c r="G31" s="869"/>
      <c r="H31" s="869"/>
      <c r="I31" s="869"/>
      <c r="J31" s="869"/>
      <c r="K31" s="869"/>
      <c r="L31" s="869"/>
      <c r="M31" s="869"/>
      <c r="N31" s="869"/>
      <c r="O31" s="869"/>
      <c r="P31" s="869"/>
      <c r="Q31" s="869"/>
      <c r="R31" s="869"/>
      <c r="S31" s="869"/>
      <c r="T31" s="870">
        <f>SUM('別紙様式2-2（個票（４、５月））'!L6:N6,'別紙様式2-3（個票（６月以降））'!K7)</f>
        <v>14994443</v>
      </c>
      <c r="U31" s="870"/>
      <c r="V31" s="870"/>
      <c r="W31" s="870"/>
      <c r="X31" s="870"/>
      <c r="Y31" s="870"/>
      <c r="Z31" s="128" t="s">
        <v>54</v>
      </c>
      <c r="AA31" s="29" t="s">
        <v>56</v>
      </c>
      <c r="AB31" s="871" t="str">
        <f>IF(H6="", "", IFERROR(IF(T32&gt;=T31,"○","×"),""))</f>
        <v>○</v>
      </c>
      <c r="AC31" s="141"/>
      <c r="AD31" s="142"/>
      <c r="AE31" s="142"/>
      <c r="AF31" s="142"/>
      <c r="AG31" s="142"/>
      <c r="AH31" s="142"/>
      <c r="AI31" s="142"/>
      <c r="AJ31" s="142"/>
      <c r="AK31" s="142"/>
      <c r="AL31" s="18"/>
      <c r="AM31" s="795" t="s">
        <v>62</v>
      </c>
      <c r="AN31" s="796"/>
      <c r="AO31" s="796"/>
      <c r="AP31" s="796"/>
      <c r="AQ31" s="796"/>
      <c r="AR31" s="796"/>
      <c r="AS31" s="796"/>
      <c r="AT31" s="796"/>
      <c r="AU31" s="796"/>
      <c r="AV31" s="796"/>
      <c r="AW31" s="796"/>
      <c r="AX31" s="796"/>
      <c r="AY31" s="797"/>
    </row>
    <row r="32" spans="1:51" ht="28.5" customHeight="1" thickBot="1">
      <c r="A32" s="18"/>
      <c r="B32" s="140" t="s">
        <v>55</v>
      </c>
      <c r="C32" s="762" t="s">
        <v>63</v>
      </c>
      <c r="D32" s="762"/>
      <c r="E32" s="762"/>
      <c r="F32" s="762"/>
      <c r="G32" s="762"/>
      <c r="H32" s="762"/>
      <c r="I32" s="762"/>
      <c r="J32" s="762"/>
      <c r="K32" s="762"/>
      <c r="L32" s="762"/>
      <c r="M32" s="762"/>
      <c r="N32" s="762"/>
      <c r="O32" s="762"/>
      <c r="P32" s="762"/>
      <c r="Q32" s="762"/>
      <c r="R32" s="762"/>
      <c r="S32" s="762"/>
      <c r="T32" s="860">
        <v>100000000</v>
      </c>
      <c r="U32" s="860"/>
      <c r="V32" s="860"/>
      <c r="W32" s="860"/>
      <c r="X32" s="860"/>
      <c r="Y32" s="861"/>
      <c r="Z32" s="126" t="s">
        <v>54</v>
      </c>
      <c r="AA32" s="29" t="s">
        <v>56</v>
      </c>
      <c r="AB32" s="872"/>
      <c r="AC32" s="141"/>
      <c r="AD32" s="142"/>
      <c r="AE32" s="142"/>
      <c r="AF32" s="142"/>
      <c r="AG32" s="142"/>
      <c r="AH32" s="142"/>
      <c r="AI32" s="142"/>
      <c r="AJ32" s="142"/>
      <c r="AK32" s="142"/>
      <c r="AL32" s="18"/>
      <c r="AM32" s="798"/>
      <c r="AN32" s="799"/>
      <c r="AO32" s="799"/>
      <c r="AP32" s="799"/>
      <c r="AQ32" s="799"/>
      <c r="AR32" s="799"/>
      <c r="AS32" s="799"/>
      <c r="AT32" s="799"/>
      <c r="AU32" s="799"/>
      <c r="AV32" s="799"/>
      <c r="AW32" s="799"/>
      <c r="AX32" s="799"/>
      <c r="AY32" s="800"/>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57</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35"/>
      <c r="AM34" s="145"/>
      <c r="AN34" s="145"/>
      <c r="AO34" s="145"/>
      <c r="AP34" s="145"/>
      <c r="AQ34" s="18"/>
      <c r="AR34" s="18"/>
      <c r="AS34" s="18"/>
      <c r="AT34" s="18"/>
      <c r="AU34" s="18"/>
      <c r="AV34" s="18"/>
      <c r="AW34" s="18"/>
      <c r="AX34" s="136"/>
      <c r="AY34" s="18"/>
    </row>
    <row r="35" spans="1:66" ht="13.9" customHeight="1">
      <c r="A35" s="18"/>
      <c r="B35" s="134" t="s">
        <v>58</v>
      </c>
      <c r="C35" s="862" t="s">
        <v>64</v>
      </c>
      <c r="D35" s="862"/>
      <c r="E35" s="862"/>
      <c r="F35" s="862"/>
      <c r="G35" s="862"/>
      <c r="H35" s="862"/>
      <c r="I35" s="862"/>
      <c r="J35" s="862"/>
      <c r="K35" s="862"/>
      <c r="L35" s="862"/>
      <c r="M35" s="862"/>
      <c r="N35" s="862"/>
      <c r="O35" s="862"/>
      <c r="P35" s="862"/>
      <c r="Q35" s="862"/>
      <c r="R35" s="862"/>
      <c r="S35" s="862"/>
      <c r="T35" s="862"/>
      <c r="U35" s="862"/>
      <c r="V35" s="862"/>
      <c r="W35" s="862"/>
      <c r="X35" s="862"/>
      <c r="Y35" s="862"/>
      <c r="Z35" s="862"/>
      <c r="AA35" s="862"/>
      <c r="AB35" s="862"/>
      <c r="AC35" s="862"/>
      <c r="AD35" s="862"/>
      <c r="AE35" s="862"/>
      <c r="AF35" s="862"/>
      <c r="AG35" s="862"/>
      <c r="AH35" s="862"/>
      <c r="AI35" s="862"/>
      <c r="AJ35" s="862"/>
      <c r="AK35" s="862"/>
      <c r="AL35" s="535"/>
      <c r="AM35" s="145"/>
      <c r="AN35" s="145"/>
      <c r="AO35" s="145"/>
      <c r="AP35" s="145"/>
      <c r="AQ35" s="18"/>
      <c r="AR35" s="18"/>
      <c r="AS35" s="18"/>
      <c r="AT35" s="18"/>
      <c r="AU35" s="18"/>
      <c r="AV35" s="18"/>
      <c r="AW35" s="18"/>
      <c r="AX35" s="136"/>
      <c r="AY35" s="18"/>
    </row>
    <row r="36" spans="1:66" ht="12.6"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2201</v>
      </c>
      <c r="BB36" s="27"/>
      <c r="BC36" s="27"/>
      <c r="BD36" s="27"/>
      <c r="BE36" s="27" t="s">
        <v>2202</v>
      </c>
      <c r="BF36" s="27"/>
      <c r="BG36" s="27"/>
      <c r="BH36" s="27"/>
      <c r="BI36" s="27" t="s">
        <v>2501</v>
      </c>
      <c r="BJ36" s="27"/>
      <c r="BK36" s="27"/>
      <c r="BL36" s="27"/>
      <c r="BM36" s="27"/>
      <c r="BN36" s="27"/>
    </row>
    <row r="37" spans="1:66" s="24" customFormat="1" ht="23.45" customHeight="1" thickBot="1">
      <c r="A37" s="57"/>
      <c r="B37" s="631" t="s">
        <v>65</v>
      </c>
      <c r="C37" s="631"/>
      <c r="D37" s="631"/>
      <c r="E37" s="631"/>
      <c r="F37" s="631"/>
      <c r="G37" s="631"/>
      <c r="H37" s="631"/>
      <c r="I37" s="631"/>
      <c r="J37" s="631"/>
      <c r="K37" s="631"/>
      <c r="L37" s="631"/>
      <c r="M37" s="631"/>
      <c r="N37" s="631"/>
      <c r="O37" s="631"/>
      <c r="P37" s="631"/>
      <c r="Q37" s="631"/>
      <c r="R37" s="631"/>
      <c r="S37" s="631"/>
      <c r="T37" s="631"/>
      <c r="U37" s="631"/>
      <c r="V37" s="631"/>
      <c r="W37" s="631"/>
      <c r="X37" s="631"/>
      <c r="Y37" s="631"/>
      <c r="Z37" s="631"/>
      <c r="AA37" s="631"/>
      <c r="AB37" s="631"/>
      <c r="AC37" s="631"/>
      <c r="AD37" s="631"/>
      <c r="AE37" s="631"/>
      <c r="AF37" s="631"/>
      <c r="AG37" s="631"/>
      <c r="AH37" s="631"/>
      <c r="AI37" s="631"/>
      <c r="AJ37" s="631"/>
      <c r="AK37" s="631"/>
      <c r="AL37" s="57"/>
      <c r="AM37" s="533"/>
      <c r="AN37" s="533"/>
      <c r="AO37" s="533"/>
      <c r="AP37" s="533"/>
      <c r="AQ37" s="533"/>
      <c r="AR37" s="533"/>
      <c r="AS37" s="533"/>
      <c r="AT37" s="533"/>
      <c r="AU37" s="533"/>
      <c r="AV37" s="533"/>
      <c r="AW37" s="533"/>
      <c r="AX37" s="533"/>
      <c r="AY37" s="533"/>
      <c r="BA37" s="858" t="s">
        <v>66</v>
      </c>
      <c r="BB37" s="858"/>
      <c r="BC37" s="858"/>
      <c r="BD37" s="858"/>
      <c r="BE37" s="858" t="s">
        <v>66</v>
      </c>
      <c r="BF37" s="858"/>
      <c r="BG37" s="858"/>
      <c r="BH37" s="858"/>
      <c r="BI37" s="919" t="s">
        <v>2502</v>
      </c>
      <c r="BJ37" s="920"/>
      <c r="BK37" s="920"/>
      <c r="BL37" s="920"/>
      <c r="BM37" s="920"/>
      <c r="BN37" s="921"/>
    </row>
    <row r="38" spans="1:66" s="13" customFormat="1" ht="18" customHeight="1" thickBot="1">
      <c r="A38" s="19"/>
      <c r="B38" s="715" t="s">
        <v>2203</v>
      </c>
      <c r="C38" s="715"/>
      <c r="D38" s="715"/>
      <c r="E38" s="715"/>
      <c r="F38" s="715"/>
      <c r="G38" s="715"/>
      <c r="H38" s="715"/>
      <c r="I38" s="715"/>
      <c r="J38" s="715"/>
      <c r="K38" s="715"/>
      <c r="L38" s="715"/>
      <c r="M38" s="715"/>
      <c r="N38" s="715"/>
      <c r="O38" s="715"/>
      <c r="P38" s="715"/>
      <c r="Q38" s="715"/>
      <c r="R38" s="715"/>
      <c r="S38" s="715"/>
      <c r="T38" s="715"/>
      <c r="U38" s="715"/>
      <c r="V38" s="715"/>
      <c r="W38" s="715"/>
      <c r="X38" s="715"/>
      <c r="Y38" s="715"/>
      <c r="Z38" s="715"/>
      <c r="AA38" s="715"/>
      <c r="AB38" s="715"/>
      <c r="AC38" s="715"/>
      <c r="AD38" s="715"/>
      <c r="AE38" s="715"/>
      <c r="AF38" s="715"/>
      <c r="AG38" s="715"/>
      <c r="AH38" s="715"/>
      <c r="AI38" s="715"/>
      <c r="AJ38" s="715"/>
      <c r="AK38" s="139" t="str">
        <f>IF(H6="","",IF(AND('別紙様式2-2（個票（４、５月））'!AG10="○",'別紙様式2-3（個票（６月以降））'!AG10="○",COUNTIF('別紙様式2-2（個票（４、５月））'!AG13:AG1048576,"*令和８年度特例要件を*")+COUNTIF('別紙様式2-3（個票（６月以降））'!AG13:AG1048576,"*令和８年度特例要件を*")=0),"○","×"))</f>
        <v>×</v>
      </c>
      <c r="AL38" s="19"/>
      <c r="AM38" s="533"/>
      <c r="AN38" s="533"/>
      <c r="AO38" s="533"/>
      <c r="AP38" s="533"/>
      <c r="AQ38" s="533"/>
      <c r="AR38" s="533"/>
      <c r="AS38" s="533"/>
      <c r="AT38" s="533"/>
      <c r="AU38" s="533"/>
      <c r="AV38" s="533"/>
      <c r="AW38" s="533"/>
      <c r="AX38" s="533"/>
      <c r="AY38" s="533"/>
      <c r="BA38" s="856">
        <f>COUNTIF('別紙様式2-2（個票（４、５月））'!O:O,"処遇改善加算Ⅰ")+COUNTIF('別紙様式2-2（個票（４、５月））'!O:O,"処遇改善加算Ⅱ")+COUNTIF('別紙様式2-2（個票（４、５月））'!O:O,"処遇改善加算Ⅲ")+COUNTIF('別紙様式2-2（個票（４、５月））'!O:O,"処遇改善加算Ⅳ")</f>
        <v>6</v>
      </c>
      <c r="BB38" s="856"/>
      <c r="BC38" s="856"/>
      <c r="BD38" s="856"/>
      <c r="BE38" s="929">
        <f>COUNTIF('別紙様式2-3（個票（６月以降））'!O:O,"*処遇改善加算Ⅰ*")+COUNTIF('別紙様式2-3（個票（６月以降））'!O:O,"*処遇改善加算Ⅱ*")+COUNTIF('別紙様式2-3（個票（６月以降））'!O:O,"処遇改善加算Ⅲ")+COUNTIF('別紙様式2-3（個票（６月以降））'!O:O,"処遇改善加算Ⅳ")</f>
        <v>6</v>
      </c>
      <c r="BF38" s="929"/>
      <c r="BG38" s="929"/>
      <c r="BH38" s="929"/>
      <c r="BI38" s="922">
        <f>COUNTIF('別紙様式2-3（個票（６月以降））'!BR13:BR113,"対象")</f>
        <v>1</v>
      </c>
      <c r="BJ38" s="923"/>
      <c r="BK38" s="923"/>
      <c r="BL38" s="923"/>
      <c r="BM38" s="923"/>
      <c r="BN38" s="924"/>
    </row>
    <row r="39" spans="1:66" s="13" customFormat="1" ht="33" customHeight="1" thickBot="1">
      <c r="A39" s="19"/>
      <c r="B39" s="712" t="s">
        <v>67</v>
      </c>
      <c r="C39" s="715"/>
      <c r="D39" s="715"/>
      <c r="E39" s="715"/>
      <c r="F39" s="715"/>
      <c r="G39" s="715"/>
      <c r="H39" s="715"/>
      <c r="I39" s="715"/>
      <c r="J39" s="715"/>
      <c r="K39" s="715"/>
      <c r="L39" s="715"/>
      <c r="M39" s="715"/>
      <c r="N39" s="715"/>
      <c r="O39" s="715"/>
      <c r="P39" s="715"/>
      <c r="Q39" s="715"/>
      <c r="R39" s="715"/>
      <c r="S39" s="715"/>
      <c r="T39" s="715"/>
      <c r="U39" s="715"/>
      <c r="V39" s="715"/>
      <c r="W39" s="715"/>
      <c r="X39" s="715"/>
      <c r="Y39" s="715"/>
      <c r="Z39" s="715"/>
      <c r="AA39" s="715"/>
      <c r="AB39" s="715"/>
      <c r="AC39" s="715"/>
      <c r="AD39" s="715"/>
      <c r="AE39" s="715"/>
      <c r="AF39" s="715"/>
      <c r="AG39" s="715"/>
      <c r="AH39" s="715"/>
      <c r="AI39" s="715"/>
      <c r="AJ39" s="715"/>
      <c r="AK39" s="603" t="s">
        <v>30</v>
      </c>
      <c r="AL39" s="19"/>
      <c r="AM39" s="533"/>
      <c r="AN39" s="533"/>
      <c r="AO39" s="533"/>
      <c r="AP39" s="533"/>
      <c r="AQ39" s="533"/>
      <c r="AR39" s="533"/>
      <c r="AS39" s="533"/>
      <c r="AT39" s="533"/>
      <c r="AU39" s="533"/>
      <c r="AV39" s="533"/>
      <c r="AW39" s="533"/>
      <c r="AX39" s="533"/>
      <c r="AY39" s="533"/>
      <c r="BA39" s="378"/>
      <c r="BB39" s="378"/>
      <c r="BC39" s="378"/>
      <c r="BD39" s="378"/>
      <c r="BE39" s="379"/>
      <c r="BF39" s="379"/>
      <c r="BG39" s="379"/>
      <c r="BH39" s="379"/>
    </row>
    <row r="40" spans="1:66" s="13" customFormat="1" ht="6" customHeight="1">
      <c r="A40" s="19"/>
      <c r="B40" s="775"/>
      <c r="C40" s="775"/>
      <c r="D40" s="775"/>
      <c r="E40" s="775"/>
      <c r="F40" s="775"/>
      <c r="G40" s="775"/>
      <c r="H40" s="775"/>
      <c r="I40" s="775"/>
      <c r="J40" s="775"/>
      <c r="K40" s="775"/>
      <c r="L40" s="775"/>
      <c r="M40" s="775"/>
      <c r="N40" s="775"/>
      <c r="O40" s="775"/>
      <c r="P40" s="775"/>
      <c r="Q40" s="775"/>
      <c r="R40" s="775"/>
      <c r="S40" s="775"/>
      <c r="T40" s="775"/>
      <c r="U40" s="775"/>
      <c r="V40" s="775"/>
      <c r="W40" s="775"/>
      <c r="X40" s="775"/>
      <c r="Y40" s="775"/>
      <c r="Z40" s="775"/>
      <c r="AA40" s="775"/>
      <c r="AB40" s="775"/>
      <c r="AC40" s="775"/>
      <c r="AD40" s="775"/>
      <c r="AE40" s="775"/>
      <c r="AF40" s="775"/>
      <c r="AG40" s="775"/>
      <c r="AH40" s="775"/>
      <c r="AI40" s="775"/>
      <c r="AJ40" s="775"/>
      <c r="AK40" s="775"/>
      <c r="AL40" s="19"/>
      <c r="AM40" s="366"/>
      <c r="AN40" s="366"/>
      <c r="AO40" s="366"/>
      <c r="AP40" s="366"/>
      <c r="AQ40" s="366"/>
      <c r="AR40" s="366"/>
      <c r="AS40" s="366"/>
      <c r="AT40" s="366"/>
      <c r="AU40" s="366"/>
      <c r="AV40" s="366"/>
      <c r="AW40" s="366"/>
      <c r="AX40" s="366"/>
      <c r="AY40" s="366"/>
      <c r="BA40" s="27" t="s">
        <v>2201</v>
      </c>
      <c r="BB40" s="27"/>
      <c r="BC40" s="27"/>
      <c r="BD40" s="27"/>
      <c r="BE40" s="27" t="s">
        <v>2202</v>
      </c>
      <c r="BF40" s="27"/>
      <c r="BG40" s="27"/>
      <c r="BH40" s="27"/>
    </row>
    <row r="41" spans="1:66" s="13" customFormat="1" ht="19.899999999999999" customHeight="1" thickBot="1">
      <c r="A41" s="19"/>
      <c r="B41" s="631" t="s">
        <v>68</v>
      </c>
      <c r="C41" s="927"/>
      <c r="D41" s="927"/>
      <c r="E41" s="927"/>
      <c r="F41" s="927"/>
      <c r="G41" s="927"/>
      <c r="H41" s="927"/>
      <c r="I41" s="927"/>
      <c r="J41" s="927"/>
      <c r="K41" s="927"/>
      <c r="L41" s="927"/>
      <c r="M41" s="927"/>
      <c r="N41" s="927"/>
      <c r="O41" s="927"/>
      <c r="P41" s="927"/>
      <c r="Q41" s="927"/>
      <c r="R41" s="927"/>
      <c r="S41" s="927"/>
      <c r="T41" s="927"/>
      <c r="U41" s="927"/>
      <c r="V41" s="927"/>
      <c r="W41" s="927"/>
      <c r="X41" s="927"/>
      <c r="Y41" s="927"/>
      <c r="Z41" s="927"/>
      <c r="AA41" s="927"/>
      <c r="AB41" s="927"/>
      <c r="AC41" s="927"/>
      <c r="AD41" s="927"/>
      <c r="AE41" s="927"/>
      <c r="AF41" s="927"/>
      <c r="AG41" s="927"/>
      <c r="AH41" s="927"/>
      <c r="AI41" s="927"/>
      <c r="AJ41" s="927"/>
      <c r="AK41" s="927"/>
      <c r="AL41" s="19"/>
      <c r="AM41" s="533"/>
      <c r="AN41" s="533"/>
      <c r="AO41" s="533"/>
      <c r="AP41" s="533"/>
      <c r="AQ41" s="533"/>
      <c r="AR41" s="533"/>
      <c r="AS41" s="533"/>
      <c r="AT41" s="533"/>
      <c r="AU41" s="533"/>
      <c r="AV41" s="533"/>
      <c r="AW41" s="533"/>
      <c r="AX41" s="533"/>
      <c r="AY41" s="533"/>
      <c r="BA41" s="928" t="s">
        <v>69</v>
      </c>
      <c r="BB41" s="928"/>
      <c r="BC41" s="928"/>
      <c r="BD41" s="928"/>
      <c r="BE41" s="928" t="s">
        <v>69</v>
      </c>
      <c r="BF41" s="928"/>
      <c r="BG41" s="928"/>
      <c r="BH41" s="928"/>
    </row>
    <row r="42" spans="1:66" s="13" customFormat="1" ht="18" customHeight="1" thickBot="1">
      <c r="A42" s="19"/>
      <c r="B42" s="712" t="s">
        <v>2207</v>
      </c>
      <c r="C42" s="712"/>
      <c r="D42" s="712"/>
      <c r="E42" s="712"/>
      <c r="F42" s="712"/>
      <c r="G42" s="712"/>
      <c r="H42" s="712"/>
      <c r="I42" s="712"/>
      <c r="J42" s="712"/>
      <c r="K42" s="712"/>
      <c r="L42" s="712"/>
      <c r="M42" s="712"/>
      <c r="N42" s="712"/>
      <c r="O42" s="712"/>
      <c r="P42" s="712"/>
      <c r="Q42" s="712"/>
      <c r="R42" s="712"/>
      <c r="S42" s="712"/>
      <c r="T42" s="712"/>
      <c r="U42" s="712"/>
      <c r="V42" s="712"/>
      <c r="W42" s="712"/>
      <c r="X42" s="712"/>
      <c r="Y42" s="712"/>
      <c r="Z42" s="712"/>
      <c r="AA42" s="712"/>
      <c r="AB42" s="712"/>
      <c r="AC42" s="712"/>
      <c r="AD42" s="712"/>
      <c r="AE42" s="712"/>
      <c r="AF42" s="712"/>
      <c r="AG42" s="712"/>
      <c r="AH42" s="712"/>
      <c r="AI42" s="712"/>
      <c r="AJ42" s="712"/>
      <c r="AK42" s="139" t="str">
        <f>IF(H6="","",IF(AND('別紙様式2-2（個票（４、５月））'!AH10="○",'別紙様式2-3（個票（６月以降））'!AH10="○",COUNTIF('別紙様式2-2（個票（４、５月））'!AH13:AH1048576,"*令和８年度特例要件を*")+COUNTIF('別紙様式2-3（個票（６月以降））'!AH13:AH1048576,"*令和８年度特例要件を*")=0),"○","×"))</f>
        <v>×</v>
      </c>
      <c r="AL42" s="19"/>
      <c r="AM42" s="533"/>
      <c r="AN42" s="533"/>
      <c r="AO42" s="533"/>
      <c r="AP42" s="533"/>
      <c r="AQ42" s="533"/>
      <c r="AR42" s="533"/>
      <c r="AS42" s="533"/>
      <c r="AT42" s="533"/>
      <c r="AU42" s="533"/>
      <c r="AV42" s="533"/>
      <c r="AW42" s="533"/>
      <c r="AX42" s="533"/>
      <c r="AY42" s="533"/>
      <c r="BA42" s="856">
        <f>COUNTIF('別紙様式2-2（個票（４、５月））'!O13:O113,"処遇改善加算Ⅰ")+COUNTIF('別紙様式2-2（個票（４、５月））'!O13:O113,"処遇改善加算Ⅱ")+COUNTIF('別紙様式2-2（個票（４、５月））'!O13:O113,"処遇改善加算Ⅲ")</f>
        <v>4</v>
      </c>
      <c r="BB42" s="856"/>
      <c r="BC42" s="856"/>
      <c r="BD42" s="856"/>
      <c r="BE42" s="929">
        <f>COUNTIF('別紙様式2-3（個票（６月以降））'!O:O,"*処遇改善加算Ⅰ*")+COUNTIF('別紙様式2-3（個票（６月以降））'!O:O,"*処遇改善加算Ⅱ*")+COUNTIF('別紙様式2-3（個票（６月以降））'!O:O,"処遇改善加算Ⅲ")</f>
        <v>6</v>
      </c>
      <c r="BF42" s="929"/>
      <c r="BG42" s="929"/>
      <c r="BH42" s="929"/>
    </row>
    <row r="43" spans="1:66" s="13" customFormat="1" ht="30.6" customHeight="1" thickBot="1">
      <c r="A43" s="19"/>
      <c r="B43" s="712" t="s">
        <v>70</v>
      </c>
      <c r="C43" s="715"/>
      <c r="D43" s="715"/>
      <c r="E43" s="715"/>
      <c r="F43" s="715"/>
      <c r="G43" s="715"/>
      <c r="H43" s="715"/>
      <c r="I43" s="715"/>
      <c r="J43" s="715"/>
      <c r="K43" s="715"/>
      <c r="L43" s="715"/>
      <c r="M43" s="715"/>
      <c r="N43" s="715"/>
      <c r="O43" s="715"/>
      <c r="P43" s="715"/>
      <c r="Q43" s="715"/>
      <c r="R43" s="715"/>
      <c r="S43" s="715"/>
      <c r="T43" s="715"/>
      <c r="U43" s="715"/>
      <c r="V43" s="715"/>
      <c r="W43" s="715"/>
      <c r="X43" s="715"/>
      <c r="Y43" s="715"/>
      <c r="Z43" s="715"/>
      <c r="AA43" s="715"/>
      <c r="AB43" s="715"/>
      <c r="AC43" s="715"/>
      <c r="AD43" s="715"/>
      <c r="AE43" s="715"/>
      <c r="AF43" s="715"/>
      <c r="AG43" s="715"/>
      <c r="AH43" s="715"/>
      <c r="AI43" s="715"/>
      <c r="AJ43" s="715"/>
      <c r="AK43" s="603" t="s">
        <v>30</v>
      </c>
      <c r="AL43" s="19"/>
      <c r="AM43" s="533"/>
      <c r="AN43" s="533"/>
      <c r="AO43" s="533"/>
      <c r="AP43" s="533"/>
      <c r="AQ43" s="533"/>
      <c r="AR43" s="533"/>
      <c r="AS43" s="533"/>
      <c r="AT43" s="533"/>
      <c r="AU43" s="533"/>
      <c r="AV43" s="533"/>
      <c r="AW43" s="533"/>
      <c r="AX43" s="533"/>
      <c r="AY43" s="533"/>
      <c r="BA43" s="378"/>
      <c r="BB43" s="378"/>
      <c r="BC43" s="378"/>
      <c r="BD43" s="378"/>
      <c r="BE43" s="379"/>
      <c r="BF43" s="379"/>
      <c r="BG43" s="379"/>
      <c r="BH43" s="379"/>
    </row>
    <row r="44" spans="1:66" s="13" customFormat="1" ht="6" customHeight="1">
      <c r="A44" s="19"/>
      <c r="B44" s="535"/>
      <c r="C44" s="535"/>
      <c r="D44" s="535"/>
      <c r="E44" s="535"/>
      <c r="F44" s="535"/>
      <c r="G44" s="535"/>
      <c r="H44" s="535"/>
      <c r="I44" s="535"/>
      <c r="J44" s="535"/>
      <c r="K44" s="535"/>
      <c r="L44" s="535"/>
      <c r="M44" s="535"/>
      <c r="N44" s="535"/>
      <c r="O44" s="535"/>
      <c r="P44" s="535"/>
      <c r="Q44" s="535"/>
      <c r="R44" s="535"/>
      <c r="S44" s="535"/>
      <c r="T44" s="535"/>
      <c r="U44" s="535"/>
      <c r="V44" s="535"/>
      <c r="W44" s="535"/>
      <c r="X44" s="535"/>
      <c r="Y44" s="535"/>
      <c r="Z44" s="535"/>
      <c r="AA44" s="535"/>
      <c r="AB44" s="535"/>
      <c r="AC44" s="535"/>
      <c r="AD44" s="535"/>
      <c r="AE44" s="535"/>
      <c r="AF44" s="535"/>
      <c r="AG44" s="535"/>
      <c r="AH44" s="535"/>
      <c r="AI44" s="535"/>
      <c r="AJ44" s="535"/>
      <c r="AK44" s="535"/>
      <c r="AL44" s="19"/>
      <c r="AM44" s="367"/>
      <c r="AN44" s="19"/>
      <c r="AO44" s="19"/>
      <c r="AP44" s="19"/>
      <c r="AQ44" s="19"/>
      <c r="AR44" s="19"/>
      <c r="AS44" s="19"/>
      <c r="AT44" s="19"/>
      <c r="AU44" s="19"/>
      <c r="AV44" s="19"/>
      <c r="AW44" s="19"/>
      <c r="AX44" s="19"/>
      <c r="AY44" s="19"/>
      <c r="BA44" s="27" t="s">
        <v>2201</v>
      </c>
      <c r="BB44" s="27"/>
      <c r="BC44" s="27"/>
      <c r="BD44" s="27"/>
      <c r="BE44" s="27" t="s">
        <v>2202</v>
      </c>
      <c r="BF44" s="27"/>
      <c r="BG44" s="27"/>
      <c r="BH44" s="27"/>
    </row>
    <row r="45" spans="1:66" s="13" customFormat="1" ht="23.45" customHeight="1" thickBot="1">
      <c r="A45" s="19"/>
      <c r="B45" s="854" t="s">
        <v>71</v>
      </c>
      <c r="C45" s="855"/>
      <c r="D45" s="855"/>
      <c r="E45" s="855"/>
      <c r="F45" s="855"/>
      <c r="G45" s="855"/>
      <c r="H45" s="855"/>
      <c r="I45" s="855"/>
      <c r="J45" s="855"/>
      <c r="K45" s="855"/>
      <c r="L45" s="855"/>
      <c r="M45" s="855"/>
      <c r="N45" s="855"/>
      <c r="O45" s="855"/>
      <c r="P45" s="855"/>
      <c r="Q45" s="855"/>
      <c r="R45" s="855"/>
      <c r="S45" s="855"/>
      <c r="T45" s="855"/>
      <c r="U45" s="855"/>
      <c r="V45" s="855"/>
      <c r="W45" s="855"/>
      <c r="X45" s="855"/>
      <c r="Y45" s="855"/>
      <c r="Z45" s="855"/>
      <c r="AA45" s="855"/>
      <c r="AB45" s="855"/>
      <c r="AC45" s="855"/>
      <c r="AD45" s="855"/>
      <c r="AE45" s="855"/>
      <c r="AF45" s="855"/>
      <c r="AG45" s="855"/>
      <c r="AH45" s="855"/>
      <c r="AI45" s="855"/>
      <c r="AJ45" s="855"/>
      <c r="AK45" s="855"/>
      <c r="AL45" s="19"/>
      <c r="AM45" s="19"/>
      <c r="AN45" s="19"/>
      <c r="AO45" s="19"/>
      <c r="AP45" s="19"/>
      <c r="AQ45" s="19"/>
      <c r="AR45" s="19"/>
      <c r="AS45" s="19"/>
      <c r="AT45" s="19"/>
      <c r="AU45" s="19"/>
      <c r="AV45" s="19"/>
      <c r="AW45" s="19"/>
      <c r="AX45" s="19"/>
      <c r="AY45" s="19"/>
      <c r="BA45" s="856" t="s">
        <v>72</v>
      </c>
      <c r="BB45" s="856"/>
      <c r="BC45" s="856"/>
      <c r="BD45" s="856"/>
      <c r="BE45" s="856" t="s">
        <v>72</v>
      </c>
      <c r="BF45" s="856"/>
      <c r="BG45" s="856"/>
      <c r="BH45" s="856"/>
    </row>
    <row r="46" spans="1:66" ht="18" customHeight="1" thickBot="1">
      <c r="A46" s="18"/>
      <c r="B46" s="857" t="s">
        <v>2204</v>
      </c>
      <c r="C46" s="857"/>
      <c r="D46" s="857"/>
      <c r="E46" s="857"/>
      <c r="F46" s="857"/>
      <c r="G46" s="857"/>
      <c r="H46" s="857"/>
      <c r="I46" s="857"/>
      <c r="J46" s="857"/>
      <c r="K46" s="857"/>
      <c r="L46" s="857"/>
      <c r="M46" s="857"/>
      <c r="N46" s="857"/>
      <c r="O46" s="857"/>
      <c r="P46" s="857"/>
      <c r="Q46" s="857"/>
      <c r="R46" s="857"/>
      <c r="S46" s="857"/>
      <c r="T46" s="857"/>
      <c r="U46" s="857"/>
      <c r="V46" s="857"/>
      <c r="W46" s="857"/>
      <c r="X46" s="857"/>
      <c r="Y46" s="857"/>
      <c r="Z46" s="857"/>
      <c r="AA46" s="857"/>
      <c r="AB46" s="857"/>
      <c r="AC46" s="857"/>
      <c r="AD46" s="857"/>
      <c r="AE46" s="857"/>
      <c r="AF46" s="857"/>
      <c r="AG46" s="857"/>
      <c r="AH46" s="857"/>
      <c r="AI46" s="857"/>
      <c r="AJ46" s="857"/>
      <c r="AK46" s="139" t="str">
        <f>IF(H6="","",IF(AND('別紙様式2-2（個票（４、５月））'!AI10="○",'別紙様式2-3（個票（６月以降））'!AI10="○",COUNTIF('別紙様式2-2（個票（４、５月））'!AI13:AI1048576,"*令和８年度特例要件を*")+COUNTIF('別紙様式2-3（個票（６月以降））'!AI13:AI1048576,"*令和８年度特例要件を*")=0),"○","×"))</f>
        <v>○</v>
      </c>
      <c r="AL46" s="18"/>
      <c r="AM46" s="18"/>
      <c r="AN46" s="18"/>
      <c r="AO46" s="18"/>
      <c r="AP46" s="18"/>
      <c r="AQ46" s="18"/>
      <c r="AR46" s="18"/>
      <c r="AS46" s="18"/>
      <c r="AT46" s="18"/>
      <c r="AU46" s="18"/>
      <c r="AV46" s="18"/>
      <c r="AW46" s="18"/>
      <c r="AX46" s="136"/>
      <c r="AY46" s="18"/>
      <c r="BA46" s="858">
        <f>COUNTIF('別紙様式2-2（個票（４、５月））'!O13:O113,"処遇改善加算Ⅰ")+COUNTIF('別紙様式2-2（個票（４、５月））'!O13:O113,"処遇改善加算Ⅱ")</f>
        <v>2</v>
      </c>
      <c r="BB46" s="858"/>
      <c r="BC46" s="858"/>
      <c r="BD46" s="858"/>
      <c r="BE46" s="859">
        <f>COUNTIF('別紙様式2-3（個票（６月以降））'!O:O,"*処遇改善加算Ⅰ*")+COUNTIF('別紙様式2-3（個票（６月以降））'!O:O,"*処遇改善加算Ⅱ*")</f>
        <v>3</v>
      </c>
      <c r="BF46" s="859"/>
      <c r="BG46" s="859"/>
      <c r="BH46" s="859"/>
    </row>
    <row r="47" spans="1:66" ht="30.6" customHeight="1" thickBot="1">
      <c r="A47" s="18"/>
      <c r="B47" s="712" t="s">
        <v>2470</v>
      </c>
      <c r="C47" s="715"/>
      <c r="D47" s="715"/>
      <c r="E47" s="715"/>
      <c r="F47" s="715"/>
      <c r="G47" s="715"/>
      <c r="H47" s="715"/>
      <c r="I47" s="715"/>
      <c r="J47" s="715"/>
      <c r="K47" s="715"/>
      <c r="L47" s="715"/>
      <c r="M47" s="715"/>
      <c r="N47" s="715"/>
      <c r="O47" s="715"/>
      <c r="P47" s="715"/>
      <c r="Q47" s="715"/>
      <c r="R47" s="715"/>
      <c r="S47" s="715"/>
      <c r="T47" s="715"/>
      <c r="U47" s="715"/>
      <c r="V47" s="715"/>
      <c r="W47" s="715"/>
      <c r="X47" s="715"/>
      <c r="Y47" s="715"/>
      <c r="Z47" s="715"/>
      <c r="AA47" s="715"/>
      <c r="AB47" s="715"/>
      <c r="AC47" s="715"/>
      <c r="AD47" s="715"/>
      <c r="AE47" s="715"/>
      <c r="AF47" s="715"/>
      <c r="AG47" s="715"/>
      <c r="AH47" s="715"/>
      <c r="AI47" s="715"/>
      <c r="AJ47" s="715"/>
      <c r="AK47" s="603"/>
      <c r="AL47" s="18"/>
      <c r="AM47" s="18"/>
      <c r="AN47" s="18"/>
      <c r="AO47" s="18"/>
      <c r="AP47" s="18"/>
      <c r="AQ47" s="18"/>
      <c r="AR47" s="18"/>
      <c r="AS47" s="18"/>
      <c r="AT47" s="18"/>
      <c r="AU47" s="18"/>
      <c r="AV47" s="18"/>
      <c r="AW47" s="18"/>
      <c r="AX47" s="136"/>
      <c r="AY47" s="18"/>
      <c r="BA47" s="371"/>
      <c r="BB47" s="371"/>
      <c r="BC47" s="371"/>
      <c r="BD47" s="371"/>
    </row>
    <row r="48" spans="1:66" ht="6" customHeight="1">
      <c r="A48" s="18"/>
      <c r="B48" s="149"/>
      <c r="C48" s="18"/>
      <c r="D48" s="527"/>
      <c r="E48" s="527"/>
      <c r="F48" s="527"/>
      <c r="G48" s="527"/>
      <c r="H48" s="527"/>
      <c r="I48" s="527"/>
      <c r="J48" s="527"/>
      <c r="K48" s="527"/>
      <c r="L48" s="527"/>
      <c r="M48" s="527"/>
      <c r="N48" s="527"/>
      <c r="O48" s="527"/>
      <c r="P48" s="527"/>
      <c r="Q48" s="527"/>
      <c r="R48" s="527"/>
      <c r="S48" s="527"/>
      <c r="T48" s="527"/>
      <c r="U48" s="527"/>
      <c r="V48" s="527"/>
      <c r="W48" s="527"/>
      <c r="X48" s="527"/>
      <c r="Y48" s="527"/>
      <c r="Z48" s="527"/>
      <c r="AA48" s="527"/>
      <c r="AB48" s="527"/>
      <c r="AC48" s="527"/>
      <c r="AD48" s="527"/>
      <c r="AE48" s="527"/>
      <c r="AF48" s="527"/>
      <c r="AG48" s="527"/>
      <c r="AH48" s="527"/>
      <c r="AI48" s="527"/>
      <c r="AJ48" s="527"/>
      <c r="AK48" s="18"/>
      <c r="AL48" s="18"/>
      <c r="AM48" s="18"/>
      <c r="AN48" s="18"/>
      <c r="AO48" s="18"/>
      <c r="AP48" s="18"/>
      <c r="AQ48" s="18"/>
      <c r="AR48" s="18"/>
      <c r="AS48" s="18"/>
      <c r="AT48" s="18"/>
      <c r="AU48" s="18"/>
      <c r="AV48" s="18"/>
      <c r="AW48" s="136"/>
      <c r="AX48" s="18"/>
      <c r="AY48" s="18"/>
      <c r="BA48" s="148"/>
      <c r="BB48" s="148"/>
      <c r="BC48" s="148"/>
    </row>
    <row r="49" spans="1:60" s="13" customFormat="1" ht="4.9000000000000004" customHeight="1">
      <c r="A49" s="18"/>
      <c r="B49" s="521"/>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45" customHeight="1" thickBot="1">
      <c r="A50" s="18"/>
      <c r="B50" s="854" t="s">
        <v>2247</v>
      </c>
      <c r="C50" s="855"/>
      <c r="D50" s="855"/>
      <c r="E50" s="855"/>
      <c r="F50" s="855"/>
      <c r="G50" s="855"/>
      <c r="H50" s="855"/>
      <c r="I50" s="855"/>
      <c r="J50" s="855"/>
      <c r="K50" s="855"/>
      <c r="L50" s="855"/>
      <c r="M50" s="855"/>
      <c r="N50" s="855"/>
      <c r="O50" s="855"/>
      <c r="P50" s="855"/>
      <c r="Q50" s="855"/>
      <c r="R50" s="855"/>
      <c r="S50" s="855"/>
      <c r="T50" s="855"/>
      <c r="U50" s="855"/>
      <c r="V50" s="855"/>
      <c r="W50" s="855"/>
      <c r="X50" s="855"/>
      <c r="Y50" s="855"/>
      <c r="Z50" s="855"/>
      <c r="AA50" s="855"/>
      <c r="AB50" s="855"/>
      <c r="AC50" s="855"/>
      <c r="AD50" s="855"/>
      <c r="AE50" s="855"/>
      <c r="AF50" s="855"/>
      <c r="AG50" s="855"/>
      <c r="AH50" s="855"/>
      <c r="AI50" s="855"/>
      <c r="AJ50" s="855"/>
      <c r="AK50" s="855"/>
      <c r="AL50" s="18"/>
      <c r="AM50" s="18"/>
      <c r="AN50" s="18"/>
      <c r="AO50" s="18"/>
      <c r="AP50" s="18"/>
      <c r="AQ50" s="18"/>
      <c r="AR50" s="18"/>
      <c r="AS50" s="18"/>
      <c r="AT50" s="18"/>
      <c r="AU50" s="18"/>
      <c r="AV50" s="18"/>
      <c r="AW50" s="18"/>
      <c r="AX50" s="18"/>
      <c r="AY50" s="18"/>
      <c r="AZ50" s="13"/>
      <c r="BA50" s="851" t="s">
        <v>73</v>
      </c>
      <c r="BB50" s="851"/>
      <c r="BC50" s="851"/>
      <c r="BD50" s="851"/>
      <c r="BE50" s="851" t="s">
        <v>73</v>
      </c>
      <c r="BF50" s="851"/>
      <c r="BG50" s="851"/>
      <c r="BH50" s="851"/>
    </row>
    <row r="51" spans="1:60" ht="18" customHeight="1" thickBot="1">
      <c r="A51" s="18"/>
      <c r="B51" s="852" t="s">
        <v>2205</v>
      </c>
      <c r="C51" s="852"/>
      <c r="D51" s="852"/>
      <c r="E51" s="852"/>
      <c r="F51" s="852"/>
      <c r="G51" s="852"/>
      <c r="H51" s="852"/>
      <c r="I51" s="852"/>
      <c r="J51" s="852"/>
      <c r="K51" s="852"/>
      <c r="L51" s="852"/>
      <c r="M51" s="852"/>
      <c r="N51" s="852"/>
      <c r="O51" s="852"/>
      <c r="P51" s="852"/>
      <c r="Q51" s="852"/>
      <c r="R51" s="852"/>
      <c r="S51" s="852"/>
      <c r="T51" s="852"/>
      <c r="U51" s="852"/>
      <c r="V51" s="852"/>
      <c r="W51" s="852"/>
      <c r="X51" s="852"/>
      <c r="Y51" s="852"/>
      <c r="Z51" s="852"/>
      <c r="AA51" s="852"/>
      <c r="AB51" s="852"/>
      <c r="AC51" s="852"/>
      <c r="AD51" s="852"/>
      <c r="AE51" s="852"/>
      <c r="AF51" s="852"/>
      <c r="AG51" s="852"/>
      <c r="AH51" s="852"/>
      <c r="AI51" s="852"/>
      <c r="AJ51" s="852"/>
      <c r="AK51" s="155" t="str">
        <f>IF(H6="", "", IF(AND('別紙様式2-2（個票（４、５月））'!AJ10="○",'別紙様式2-3（個票（６月以降））'!AJ10="○"), "○", "×"))</f>
        <v>○</v>
      </c>
      <c r="AL51" s="18"/>
      <c r="AM51" s="18"/>
      <c r="AN51" s="18"/>
      <c r="AO51" s="18"/>
      <c r="AP51" s="18"/>
      <c r="AQ51" s="18"/>
      <c r="AR51" s="18"/>
      <c r="AS51" s="18"/>
      <c r="AT51" s="18"/>
      <c r="AU51" s="18"/>
      <c r="AV51" s="18"/>
      <c r="AW51" s="18"/>
      <c r="AX51" s="18"/>
      <c r="AY51" s="18"/>
      <c r="BA51" s="853">
        <f>COUNTIF('別紙様式2-2（個票（４、５月））'!O13:O113,"処遇改善加算Ⅰ")</f>
        <v>1</v>
      </c>
      <c r="BB51" s="853"/>
      <c r="BC51" s="853"/>
      <c r="BD51" s="853"/>
      <c r="BE51" s="853">
        <f>COUNTIF('別紙様式2-3（個票（６月以降））'!O13:O113,"*処遇改善加算Ⅰ*")</f>
        <v>2</v>
      </c>
      <c r="BF51" s="853"/>
      <c r="BG51" s="853"/>
      <c r="BH51" s="853"/>
    </row>
    <row r="52" spans="1:60" ht="6"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45" customHeight="1" thickBot="1">
      <c r="A53" s="57"/>
      <c r="B53" s="841" t="s">
        <v>74</v>
      </c>
      <c r="C53" s="842"/>
      <c r="D53" s="842"/>
      <c r="E53" s="842"/>
      <c r="F53" s="842"/>
      <c r="G53" s="842"/>
      <c r="H53" s="842"/>
      <c r="I53" s="842"/>
      <c r="J53" s="842"/>
      <c r="K53" s="842"/>
      <c r="L53" s="842"/>
      <c r="M53" s="842"/>
      <c r="N53" s="842"/>
      <c r="O53" s="842"/>
      <c r="P53" s="842"/>
      <c r="Q53" s="842"/>
      <c r="R53" s="842"/>
      <c r="S53" s="842"/>
      <c r="T53" s="842"/>
      <c r="U53" s="842"/>
      <c r="V53" s="842"/>
      <c r="W53" s="842"/>
      <c r="X53" s="842"/>
      <c r="Y53" s="842"/>
      <c r="Z53" s="842"/>
      <c r="AA53" s="842"/>
      <c r="AB53" s="842"/>
      <c r="AC53" s="842"/>
      <c r="AD53" s="842"/>
      <c r="AE53" s="842"/>
      <c r="AF53" s="842"/>
      <c r="AG53" s="842"/>
      <c r="AH53" s="842"/>
      <c r="AI53" s="842"/>
      <c r="AJ53" s="842"/>
      <c r="AK53" s="842"/>
      <c r="AL53" s="96"/>
      <c r="AM53" s="19"/>
      <c r="AN53" s="157"/>
      <c r="AO53" s="19"/>
      <c r="AP53" s="19"/>
      <c r="AQ53" s="19"/>
      <c r="AR53" s="19"/>
      <c r="AS53" s="19"/>
      <c r="AT53" s="19"/>
      <c r="AU53" s="19"/>
      <c r="AV53" s="19"/>
      <c r="AW53" s="19"/>
      <c r="AX53" s="19"/>
      <c r="AY53" s="19"/>
    </row>
    <row r="54" spans="1:60" s="24" customFormat="1" ht="16.899999999999999" customHeight="1" thickBot="1">
      <c r="A54" s="57"/>
      <c r="B54" s="843" t="s">
        <v>75</v>
      </c>
      <c r="C54" s="844"/>
      <c r="D54" s="844"/>
      <c r="E54" s="844"/>
      <c r="F54" s="844"/>
      <c r="G54" s="844"/>
      <c r="H54" s="844"/>
      <c r="I54" s="844"/>
      <c r="J54" s="844"/>
      <c r="K54" s="844"/>
      <c r="L54" s="844"/>
      <c r="M54" s="844"/>
      <c r="N54" s="844"/>
      <c r="O54" s="844"/>
      <c r="P54" s="844"/>
      <c r="Q54" s="844"/>
      <c r="R54" s="844"/>
      <c r="S54" s="844"/>
      <c r="T54" s="844"/>
      <c r="U54" s="844"/>
      <c r="V54" s="844"/>
      <c r="W54" s="844"/>
      <c r="X54" s="844"/>
      <c r="Y54" s="844"/>
      <c r="Z54" s="844"/>
      <c r="AA54" s="844"/>
      <c r="AB54" s="844"/>
      <c r="AC54" s="844"/>
      <c r="AD54" s="844"/>
      <c r="AE54" s="844"/>
      <c r="AF54" s="844"/>
      <c r="AG54" s="844"/>
      <c r="AH54" s="844"/>
      <c r="AI54" s="844"/>
      <c r="AJ54" s="844"/>
      <c r="AK54" s="555"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v>
      </c>
      <c r="AL54" s="96"/>
      <c r="AM54" s="533"/>
      <c r="AN54" s="533"/>
      <c r="AO54" s="533"/>
      <c r="AP54" s="533"/>
      <c r="AQ54" s="533"/>
      <c r="AR54" s="533"/>
      <c r="AS54" s="533"/>
      <c r="AT54" s="533"/>
      <c r="AU54" s="533"/>
      <c r="AV54" s="533"/>
      <c r="AW54" s="533"/>
      <c r="AX54" s="533"/>
      <c r="AY54" s="533"/>
    </row>
    <row r="55" spans="1:60" s="24" customFormat="1" ht="31.5" customHeight="1" thickTop="1" thickBot="1">
      <c r="A55" s="57"/>
      <c r="B55" s="712" t="s">
        <v>2190</v>
      </c>
      <c r="C55" s="715"/>
      <c r="D55" s="715"/>
      <c r="E55" s="715"/>
      <c r="F55" s="715"/>
      <c r="G55" s="715"/>
      <c r="H55" s="715"/>
      <c r="I55" s="715"/>
      <c r="J55" s="715"/>
      <c r="K55" s="715"/>
      <c r="L55" s="715"/>
      <c r="M55" s="715"/>
      <c r="N55" s="715"/>
      <c r="O55" s="715"/>
      <c r="P55" s="715"/>
      <c r="Q55" s="715"/>
      <c r="R55" s="715"/>
      <c r="S55" s="715"/>
      <c r="T55" s="715"/>
      <c r="U55" s="715"/>
      <c r="V55" s="715"/>
      <c r="W55" s="715"/>
      <c r="X55" s="715"/>
      <c r="Y55" s="715"/>
      <c r="Z55" s="715"/>
      <c r="AA55" s="715"/>
      <c r="AB55" s="715"/>
      <c r="AC55" s="715"/>
      <c r="AD55" s="715"/>
      <c r="AE55" s="715"/>
      <c r="AF55" s="715"/>
      <c r="AG55" s="715"/>
      <c r="AH55" s="715"/>
      <c r="AI55" s="715"/>
      <c r="AJ55" s="715"/>
      <c r="AK55" s="604"/>
      <c r="AL55" s="96"/>
      <c r="AM55" s="158"/>
      <c r="AN55" s="533"/>
      <c r="AO55" s="533"/>
      <c r="AP55" s="533"/>
      <c r="AQ55" s="533"/>
      <c r="AR55" s="533"/>
      <c r="AS55" s="533"/>
      <c r="AT55" s="533"/>
      <c r="AU55" s="533"/>
      <c r="AV55" s="533"/>
      <c r="AW55" s="533"/>
      <c r="AX55" s="533"/>
      <c r="AY55" s="533"/>
    </row>
    <row r="56" spans="1:60" s="24" customFormat="1" ht="31.5" customHeight="1" thickTop="1" thickBot="1">
      <c r="A56" s="57"/>
      <c r="B56" s="845" t="s">
        <v>2191</v>
      </c>
      <c r="C56" s="845"/>
      <c r="D56" s="845"/>
      <c r="E56" s="845"/>
      <c r="F56" s="845"/>
      <c r="G56" s="845"/>
      <c r="H56" s="845"/>
      <c r="I56" s="845"/>
      <c r="J56" s="845"/>
      <c r="K56" s="845"/>
      <c r="L56" s="845"/>
      <c r="M56" s="845"/>
      <c r="N56" s="845"/>
      <c r="O56" s="845"/>
      <c r="P56" s="845"/>
      <c r="Q56" s="845"/>
      <c r="R56" s="845"/>
      <c r="S56" s="845"/>
      <c r="T56" s="845"/>
      <c r="U56" s="845"/>
      <c r="V56" s="845"/>
      <c r="W56" s="845"/>
      <c r="X56" s="845"/>
      <c r="Y56" s="845"/>
      <c r="Z56" s="845"/>
      <c r="AA56" s="845"/>
      <c r="AB56" s="845"/>
      <c r="AC56" s="845"/>
      <c r="AD56" s="845"/>
      <c r="AE56" s="845"/>
      <c r="AF56" s="845"/>
      <c r="AG56" s="845"/>
      <c r="AH56" s="845"/>
      <c r="AI56" s="845"/>
      <c r="AJ56" s="846"/>
      <c r="AK56" s="556" t="str">
        <f>IF(H6="","",IF(AND(AK58="",AK61="",AK64=""),"",IF(OR(AK58="×",AK61="×",AK64="×"),"×","○")))</f>
        <v>○</v>
      </c>
      <c r="AL56" s="96"/>
      <c r="AM56" s="158"/>
      <c r="AN56" s="158"/>
      <c r="AO56" s="158"/>
      <c r="AP56" s="158"/>
      <c r="AQ56" s="158"/>
      <c r="AR56" s="158"/>
      <c r="AS56" s="158"/>
      <c r="AT56" s="158"/>
      <c r="AU56" s="158"/>
      <c r="AV56" s="158"/>
      <c r="AW56" s="158"/>
      <c r="AX56" s="158"/>
      <c r="AY56" s="158"/>
    </row>
    <row r="57" spans="1:60" s="24" customFormat="1" ht="7.9"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 customHeight="1" thickBot="1">
      <c r="A58" s="18"/>
      <c r="B58" s="143" t="s">
        <v>76</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847" t="str">
        <f>IF(H6="","",IF(OR(BA46&gt;0,BE46&gt;0),"該当",""))</f>
        <v>該当</v>
      </c>
      <c r="AJ58" s="848"/>
      <c r="AK58" s="567" t="str">
        <f>IF(AI58="","",IF(AND(COUNTIF($E$68:$F$71,"✓")+COUNTIF($E$68:$F$71,"誓約")&gt;=2,COUNTIF($E$72:$F$75,"✓")+COUNTIF($E$72:$F$75,"誓約")&gt;=2,COUNTIF($E$76:$F$80,"✓")+COUNTIF($E$76:$F$80,"誓約")&gt;=2,COUNTIF($E$81:$F$84,"✓")+COUNTIF($E$81:$F$84,"誓約")&gt;=2,OR(E92="✓",E92="誓約",AND(OR(E85="✓",E85="誓約"),COUNTIF($E$85:$F$92,"✓")+COUNTIF($E$85:$F$92,"誓約")&gt;=3)),COUNTIF($E$93:$F$96,"✓")+COUNTIF($E$93:$F$96,"誓約")&gt;=2),"○","×"))</f>
        <v>○</v>
      </c>
      <c r="AL58" s="19"/>
      <c r="AM58" s="57"/>
      <c r="AN58" s="57"/>
      <c r="AO58" s="57"/>
      <c r="AP58" s="57"/>
      <c r="AQ58" s="57"/>
      <c r="AR58" s="57"/>
      <c r="AS58" s="57"/>
      <c r="AT58" s="57"/>
      <c r="AU58" s="57"/>
      <c r="AV58" s="57"/>
      <c r="AW58" s="57"/>
      <c r="AX58" s="57"/>
      <c r="AY58" s="57"/>
    </row>
    <row r="59" spans="1:60" ht="60.75" customHeight="1">
      <c r="A59" s="18"/>
      <c r="B59" s="161" t="s">
        <v>77</v>
      </c>
      <c r="C59" s="834" t="s">
        <v>2527</v>
      </c>
      <c r="D59" s="834"/>
      <c r="E59" s="834"/>
      <c r="F59" s="834"/>
      <c r="G59" s="834"/>
      <c r="H59" s="834"/>
      <c r="I59" s="834"/>
      <c r="J59" s="834"/>
      <c r="K59" s="834"/>
      <c r="L59" s="834"/>
      <c r="M59" s="834"/>
      <c r="N59" s="834"/>
      <c r="O59" s="834"/>
      <c r="P59" s="834"/>
      <c r="Q59" s="834"/>
      <c r="R59" s="834"/>
      <c r="S59" s="834"/>
      <c r="T59" s="834"/>
      <c r="U59" s="834"/>
      <c r="V59" s="834"/>
      <c r="W59" s="834"/>
      <c r="X59" s="834"/>
      <c r="Y59" s="834"/>
      <c r="Z59" s="834"/>
      <c r="AA59" s="834"/>
      <c r="AB59" s="834"/>
      <c r="AC59" s="834"/>
      <c r="AD59" s="834"/>
      <c r="AE59" s="834"/>
      <c r="AF59" s="834"/>
      <c r="AG59" s="834"/>
      <c r="AH59" s="834"/>
      <c r="AI59" s="834"/>
      <c r="AJ59" s="834"/>
      <c r="AK59" s="834"/>
      <c r="AL59" s="19"/>
      <c r="AM59" s="19"/>
      <c r="AN59" s="19"/>
      <c r="AO59" s="19"/>
      <c r="AP59" s="19"/>
      <c r="AQ59" s="368"/>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 customHeight="1" thickBot="1">
      <c r="A61" s="18"/>
      <c r="B61" s="372" t="s">
        <v>2525</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849" t="str">
        <f>IF(OR(BA38-BA46&gt;0,BE38-BE46&gt;0),"該当","")</f>
        <v>該当</v>
      </c>
      <c r="AJ61" s="850"/>
      <c r="AK61" s="568"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v>
      </c>
      <c r="AL61" s="19"/>
      <c r="AM61" s="19"/>
      <c r="AN61" s="19"/>
      <c r="AO61" s="18"/>
      <c r="AP61" s="19"/>
      <c r="AQ61" s="19"/>
      <c r="AR61" s="19"/>
      <c r="AS61" s="19"/>
      <c r="AT61" s="19"/>
      <c r="AU61" s="19"/>
      <c r="AV61" s="19"/>
      <c r="AW61" s="19"/>
      <c r="AX61" s="19"/>
      <c r="AY61" s="19"/>
    </row>
    <row r="62" spans="1:60" ht="59.45" customHeight="1">
      <c r="A62" s="18"/>
      <c r="B62" s="161" t="s">
        <v>77</v>
      </c>
      <c r="C62" s="834" t="s">
        <v>2471</v>
      </c>
      <c r="D62" s="834"/>
      <c r="E62" s="834"/>
      <c r="F62" s="834"/>
      <c r="G62" s="834"/>
      <c r="H62" s="834"/>
      <c r="I62" s="834"/>
      <c r="J62" s="834"/>
      <c r="K62" s="834"/>
      <c r="L62" s="834"/>
      <c r="M62" s="834"/>
      <c r="N62" s="834"/>
      <c r="O62" s="834"/>
      <c r="P62" s="834"/>
      <c r="Q62" s="834"/>
      <c r="R62" s="834"/>
      <c r="S62" s="834"/>
      <c r="T62" s="834"/>
      <c r="U62" s="834"/>
      <c r="V62" s="834"/>
      <c r="W62" s="834"/>
      <c r="X62" s="834"/>
      <c r="Y62" s="834"/>
      <c r="Z62" s="834"/>
      <c r="AA62" s="834"/>
      <c r="AB62" s="834"/>
      <c r="AC62" s="834"/>
      <c r="AD62" s="834"/>
      <c r="AE62" s="834"/>
      <c r="AF62" s="834"/>
      <c r="AG62" s="834"/>
      <c r="AH62" s="834"/>
      <c r="AI62" s="834"/>
      <c r="AJ62" s="834"/>
      <c r="AK62" s="834"/>
      <c r="AL62" s="19"/>
      <c r="AM62" s="19"/>
      <c r="AN62" s="19"/>
      <c r="AO62" s="19"/>
      <c r="AP62" s="19"/>
      <c r="AQ62" s="19"/>
      <c r="AR62" s="19"/>
      <c r="AS62" s="19"/>
      <c r="AT62" s="19"/>
      <c r="AU62" s="19"/>
      <c r="AV62" s="19"/>
      <c r="AW62" s="19"/>
      <c r="AX62" s="19"/>
      <c r="AY62" s="19"/>
    </row>
    <row r="63" spans="1:60" ht="9.9499999999999993" customHeight="1" thickBot="1">
      <c r="A63" s="18"/>
      <c r="B63" s="161"/>
      <c r="C63" s="530"/>
      <c r="D63" s="530"/>
      <c r="E63" s="530"/>
      <c r="F63" s="530"/>
      <c r="G63" s="530"/>
      <c r="H63" s="530"/>
      <c r="I63" s="530"/>
      <c r="J63" s="530"/>
      <c r="K63" s="530"/>
      <c r="L63" s="530"/>
      <c r="M63" s="530"/>
      <c r="N63" s="530"/>
      <c r="O63" s="530"/>
      <c r="P63" s="530"/>
      <c r="Q63" s="530"/>
      <c r="R63" s="530"/>
      <c r="S63" s="530"/>
      <c r="T63" s="530"/>
      <c r="U63" s="530"/>
      <c r="V63" s="530"/>
      <c r="W63" s="530"/>
      <c r="X63" s="530"/>
      <c r="Y63" s="530"/>
      <c r="Z63" s="530"/>
      <c r="AA63" s="530"/>
      <c r="AB63" s="530"/>
      <c r="AC63" s="530"/>
      <c r="AD63" s="530"/>
      <c r="AE63" s="530"/>
      <c r="AF63" s="530"/>
      <c r="AG63" s="530"/>
      <c r="AH63" s="530"/>
      <c r="AI63" s="530"/>
      <c r="AJ63" s="530"/>
      <c r="AK63" s="530"/>
      <c r="AL63" s="19"/>
      <c r="AM63" s="19"/>
      <c r="AN63" s="19"/>
      <c r="AO63" s="19"/>
      <c r="AP63" s="19"/>
      <c r="AQ63" s="19"/>
      <c r="AR63" s="19"/>
      <c r="AS63" s="19"/>
      <c r="AT63" s="19"/>
      <c r="AU63" s="19"/>
      <c r="AV63" s="19"/>
      <c r="AW63" s="19"/>
      <c r="AX63" s="19"/>
      <c r="AY63" s="19"/>
    </row>
    <row r="64" spans="1:60" ht="21" customHeight="1" thickBot="1">
      <c r="A64" s="18"/>
      <c r="B64" s="576" t="s">
        <v>2503</v>
      </c>
      <c r="C64" s="530"/>
      <c r="D64" s="530"/>
      <c r="E64" s="530"/>
      <c r="F64" s="530"/>
      <c r="G64" s="530"/>
      <c r="H64" s="530"/>
      <c r="I64" s="530"/>
      <c r="J64" s="530"/>
      <c r="K64" s="530"/>
      <c r="L64" s="530"/>
      <c r="M64" s="530"/>
      <c r="N64" s="530"/>
      <c r="O64" s="530"/>
      <c r="P64" s="530"/>
      <c r="Q64" s="530"/>
      <c r="R64" s="530"/>
      <c r="S64" s="530"/>
      <c r="T64" s="530"/>
      <c r="U64" s="530"/>
      <c r="V64" s="530"/>
      <c r="W64" s="530"/>
      <c r="X64" s="530"/>
      <c r="Y64" s="530"/>
      <c r="Z64" s="530"/>
      <c r="AA64" s="530"/>
      <c r="AB64" s="530"/>
      <c r="AC64" s="530"/>
      <c r="AD64" s="530"/>
      <c r="AE64" s="530"/>
      <c r="AF64" s="530"/>
      <c r="AG64" s="530"/>
      <c r="AH64" s="530"/>
      <c r="AI64" s="849" t="str">
        <f>IF(BI38&gt;0,"該当","")</f>
        <v>該当</v>
      </c>
      <c r="AJ64" s="850"/>
      <c r="AK64" s="568" t="str">
        <f>IF(AI64="","",IF(AND(COUNTIF($E$68:$F$71,"✓")+COUNTIF($E$68:$F$71,"誓約")&gt;=1,COUNTIF($E$72:$F$75,"✓")+COUNTIF($E$72:$F$75,"誓約")&gt;=1,COUNTIF($E$76:$F$80,"✓")+COUNTIF($E$76:$F$80,"誓約")&gt;=1,COUNTIF($E$81:$F$84,"✓")+COUNTIF($E$81:$F$84,"誓約")&gt;=1,OR(COUNTIF($E$85:$F$91,"✓")+COUNTIF($E$85:$F$91,"誓約")&gt;=2,E92="✓",E92="誓約"),COUNTIF($E$93:$F$96,"✓")+COUNTIF($E$93:$F$96,"誓約")&gt;=1),"○","×"))</f>
        <v>○</v>
      </c>
      <c r="AL64" s="19"/>
      <c r="AM64" s="19"/>
      <c r="AN64" s="19"/>
      <c r="AO64" s="19"/>
      <c r="AP64" s="19"/>
      <c r="AQ64" s="19"/>
      <c r="AR64" s="19"/>
      <c r="AS64" s="19"/>
      <c r="AT64" s="19"/>
      <c r="AU64" s="19"/>
      <c r="AV64" s="19"/>
      <c r="AW64" s="19"/>
      <c r="AX64" s="19"/>
      <c r="AY64" s="19"/>
    </row>
    <row r="65" spans="1:53" ht="59.45" customHeight="1">
      <c r="A65" s="18"/>
      <c r="B65" s="161" t="s">
        <v>77</v>
      </c>
      <c r="C65" s="834" t="s">
        <v>2504</v>
      </c>
      <c r="D65" s="834"/>
      <c r="E65" s="834"/>
      <c r="F65" s="834"/>
      <c r="G65" s="834"/>
      <c r="H65" s="834"/>
      <c r="I65" s="834"/>
      <c r="J65" s="834"/>
      <c r="K65" s="834"/>
      <c r="L65" s="834"/>
      <c r="M65" s="834"/>
      <c r="N65" s="834"/>
      <c r="O65" s="834"/>
      <c r="P65" s="834"/>
      <c r="Q65" s="834"/>
      <c r="R65" s="834"/>
      <c r="S65" s="834"/>
      <c r="T65" s="834"/>
      <c r="U65" s="834"/>
      <c r="V65" s="834"/>
      <c r="W65" s="834"/>
      <c r="X65" s="834"/>
      <c r="Y65" s="834"/>
      <c r="Z65" s="834"/>
      <c r="AA65" s="834"/>
      <c r="AB65" s="834"/>
      <c r="AC65" s="834"/>
      <c r="AD65" s="834"/>
      <c r="AE65" s="834"/>
      <c r="AF65" s="834"/>
      <c r="AG65" s="834"/>
      <c r="AH65" s="834"/>
      <c r="AI65" s="834"/>
      <c r="AJ65" s="834"/>
      <c r="AK65" s="834"/>
      <c r="AL65" s="19"/>
      <c r="AM65" s="19"/>
      <c r="AN65" s="19"/>
      <c r="AO65" s="19"/>
      <c r="AP65" s="19"/>
      <c r="AQ65" s="19"/>
      <c r="AR65" s="19"/>
      <c r="AS65" s="19"/>
      <c r="AT65" s="19"/>
      <c r="AU65" s="19"/>
      <c r="AV65" s="19"/>
      <c r="AW65" s="19"/>
      <c r="AX65" s="19"/>
      <c r="AY65" s="19"/>
    </row>
    <row r="66" spans="1:53" ht="7.9"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899999999999999" customHeight="1" thickBot="1">
      <c r="A67" s="18"/>
      <c r="B67" s="835" t="s">
        <v>78</v>
      </c>
      <c r="C67" s="836"/>
      <c r="D67" s="837"/>
      <c r="E67" s="838" t="s">
        <v>79</v>
      </c>
      <c r="F67" s="839"/>
      <c r="G67" s="839"/>
      <c r="H67" s="839"/>
      <c r="I67" s="839"/>
      <c r="J67" s="839"/>
      <c r="K67" s="839"/>
      <c r="L67" s="839"/>
      <c r="M67" s="839"/>
      <c r="N67" s="839"/>
      <c r="O67" s="839"/>
      <c r="P67" s="839"/>
      <c r="Q67" s="839"/>
      <c r="R67" s="839"/>
      <c r="S67" s="839"/>
      <c r="T67" s="839"/>
      <c r="U67" s="839"/>
      <c r="V67" s="839"/>
      <c r="W67" s="839"/>
      <c r="X67" s="839"/>
      <c r="Y67" s="839"/>
      <c r="Z67" s="839"/>
      <c r="AA67" s="839"/>
      <c r="AB67" s="839"/>
      <c r="AC67" s="839"/>
      <c r="AD67" s="839"/>
      <c r="AE67" s="839"/>
      <c r="AF67" s="839"/>
      <c r="AG67" s="839"/>
      <c r="AH67" s="839"/>
      <c r="AI67" s="839"/>
      <c r="AJ67" s="839"/>
      <c r="AK67" s="840"/>
      <c r="AL67" s="19"/>
      <c r="AM67" s="18"/>
      <c r="AN67" s="533"/>
      <c r="AO67" s="533"/>
      <c r="AP67" s="533"/>
      <c r="AQ67" s="533"/>
      <c r="AR67" s="533"/>
      <c r="AS67" s="533"/>
      <c r="AT67" s="533"/>
      <c r="AU67" s="533"/>
      <c r="AV67" s="533"/>
      <c r="AW67" s="533"/>
      <c r="AX67" s="533"/>
      <c r="AY67" s="533"/>
      <c r="AZ67" s="54"/>
      <c r="BA67" s="163" t="s">
        <v>80</v>
      </c>
    </row>
    <row r="68" spans="1:53" ht="15.6" customHeight="1">
      <c r="A68" s="18"/>
      <c r="B68" s="667" t="s">
        <v>81</v>
      </c>
      <c r="C68" s="668"/>
      <c r="D68" s="668"/>
      <c r="E68" s="818" t="s">
        <v>267</v>
      </c>
      <c r="F68" s="819"/>
      <c r="G68" s="804" t="s">
        <v>2248</v>
      </c>
      <c r="H68" s="805"/>
      <c r="I68" s="805"/>
      <c r="J68" s="805"/>
      <c r="K68" s="805"/>
      <c r="L68" s="805"/>
      <c r="M68" s="805"/>
      <c r="N68" s="805"/>
      <c r="O68" s="805"/>
      <c r="P68" s="805"/>
      <c r="Q68" s="805"/>
      <c r="R68" s="805"/>
      <c r="S68" s="805"/>
      <c r="T68" s="805"/>
      <c r="U68" s="805"/>
      <c r="V68" s="805"/>
      <c r="W68" s="805"/>
      <c r="X68" s="805"/>
      <c r="Y68" s="805"/>
      <c r="Z68" s="805"/>
      <c r="AA68" s="805"/>
      <c r="AB68" s="805"/>
      <c r="AC68" s="805"/>
      <c r="AD68" s="805"/>
      <c r="AE68" s="805"/>
      <c r="AF68" s="805"/>
      <c r="AG68" s="805"/>
      <c r="AH68" s="805"/>
      <c r="AI68" s="805"/>
      <c r="AJ68" s="805"/>
      <c r="AK68" s="806"/>
      <c r="AL68" s="19"/>
      <c r="AM68" s="795" t="str">
        <f>IF(AI58="該当", "！この区分（４項目）から２つ以上の取組が選択されていません。",  "！この区分（４項目）から１つ以上の取組が選択されていません。")</f>
        <v>！この区分（４項目）から２つ以上の取組が選択されていません。</v>
      </c>
      <c r="AN68" s="796"/>
      <c r="AO68" s="796"/>
      <c r="AP68" s="796"/>
      <c r="AQ68" s="796"/>
      <c r="AR68" s="796"/>
      <c r="AS68" s="796"/>
      <c r="AT68" s="796"/>
      <c r="AU68" s="796"/>
      <c r="AV68" s="796"/>
      <c r="AW68" s="796"/>
      <c r="AX68" s="797"/>
      <c r="AY68" s="19"/>
      <c r="AZ68" s="13"/>
      <c r="BA68" s="801">
        <f>COUNTIF(E68:F71, "✓")+COUNTIF(E68:F71, "誓約")</f>
        <v>2</v>
      </c>
    </row>
    <row r="69" spans="1:53" ht="15" customHeight="1" thickBot="1">
      <c r="A69" s="18"/>
      <c r="B69" s="670"/>
      <c r="C69" s="671"/>
      <c r="D69" s="671"/>
      <c r="E69" s="802"/>
      <c r="F69" s="803"/>
      <c r="G69" s="804" t="s">
        <v>82</v>
      </c>
      <c r="H69" s="805"/>
      <c r="I69" s="805"/>
      <c r="J69" s="805"/>
      <c r="K69" s="805"/>
      <c r="L69" s="805"/>
      <c r="M69" s="805"/>
      <c r="N69" s="805"/>
      <c r="O69" s="805"/>
      <c r="P69" s="805"/>
      <c r="Q69" s="805"/>
      <c r="R69" s="805"/>
      <c r="S69" s="805"/>
      <c r="T69" s="805"/>
      <c r="U69" s="805"/>
      <c r="V69" s="805"/>
      <c r="W69" s="805"/>
      <c r="X69" s="805"/>
      <c r="Y69" s="805"/>
      <c r="Z69" s="805"/>
      <c r="AA69" s="805"/>
      <c r="AB69" s="805"/>
      <c r="AC69" s="805"/>
      <c r="AD69" s="805"/>
      <c r="AE69" s="805"/>
      <c r="AF69" s="805"/>
      <c r="AG69" s="805"/>
      <c r="AH69" s="805"/>
      <c r="AI69" s="805"/>
      <c r="AJ69" s="805"/>
      <c r="AK69" s="806"/>
      <c r="AL69" s="19"/>
      <c r="AM69" s="798"/>
      <c r="AN69" s="799"/>
      <c r="AO69" s="799"/>
      <c r="AP69" s="799"/>
      <c r="AQ69" s="799"/>
      <c r="AR69" s="799"/>
      <c r="AS69" s="799"/>
      <c r="AT69" s="799"/>
      <c r="AU69" s="799"/>
      <c r="AV69" s="799"/>
      <c r="AW69" s="799"/>
      <c r="AX69" s="800"/>
      <c r="AY69" s="158"/>
      <c r="AZ69" s="164"/>
      <c r="BA69" s="801"/>
    </row>
    <row r="70" spans="1:53" ht="24.6" customHeight="1">
      <c r="A70" s="18"/>
      <c r="B70" s="670"/>
      <c r="C70" s="671"/>
      <c r="D70" s="671"/>
      <c r="E70" s="802" t="s">
        <v>30</v>
      </c>
      <c r="F70" s="803"/>
      <c r="G70" s="804" t="s">
        <v>2249</v>
      </c>
      <c r="H70" s="805"/>
      <c r="I70" s="805"/>
      <c r="J70" s="805"/>
      <c r="K70" s="805"/>
      <c r="L70" s="805"/>
      <c r="M70" s="805"/>
      <c r="N70" s="805"/>
      <c r="O70" s="805"/>
      <c r="P70" s="805"/>
      <c r="Q70" s="805"/>
      <c r="R70" s="805"/>
      <c r="S70" s="805"/>
      <c r="T70" s="805"/>
      <c r="U70" s="805"/>
      <c r="V70" s="805"/>
      <c r="W70" s="805"/>
      <c r="X70" s="805"/>
      <c r="Y70" s="805"/>
      <c r="Z70" s="805"/>
      <c r="AA70" s="805"/>
      <c r="AB70" s="805"/>
      <c r="AC70" s="805"/>
      <c r="AD70" s="805"/>
      <c r="AE70" s="805"/>
      <c r="AF70" s="805"/>
      <c r="AG70" s="805"/>
      <c r="AH70" s="805"/>
      <c r="AI70" s="805"/>
      <c r="AJ70" s="805"/>
      <c r="AK70" s="806"/>
      <c r="AL70" s="19"/>
      <c r="AM70" s="158"/>
      <c r="AN70" s="158"/>
      <c r="AO70" s="158"/>
      <c r="AP70" s="158"/>
      <c r="AQ70" s="158"/>
      <c r="AR70" s="158"/>
      <c r="AS70" s="158"/>
      <c r="AT70" s="158"/>
      <c r="AU70" s="158"/>
      <c r="AV70" s="158"/>
      <c r="AW70" s="158"/>
      <c r="AX70" s="158"/>
      <c r="AY70" s="158"/>
      <c r="AZ70" s="164"/>
      <c r="BA70" s="801"/>
    </row>
    <row r="71" spans="1:53" ht="15" customHeight="1" thickBot="1">
      <c r="A71" s="18"/>
      <c r="B71" s="815"/>
      <c r="C71" s="816"/>
      <c r="D71" s="816"/>
      <c r="E71" s="832"/>
      <c r="F71" s="833"/>
      <c r="G71" s="804" t="s">
        <v>2250</v>
      </c>
      <c r="H71" s="805"/>
      <c r="I71" s="805"/>
      <c r="J71" s="805"/>
      <c r="K71" s="805"/>
      <c r="L71" s="805"/>
      <c r="M71" s="805"/>
      <c r="N71" s="805"/>
      <c r="O71" s="805"/>
      <c r="P71" s="805"/>
      <c r="Q71" s="805"/>
      <c r="R71" s="805"/>
      <c r="S71" s="805"/>
      <c r="T71" s="805"/>
      <c r="U71" s="805"/>
      <c r="V71" s="805"/>
      <c r="W71" s="805"/>
      <c r="X71" s="805"/>
      <c r="Y71" s="805"/>
      <c r="Z71" s="805"/>
      <c r="AA71" s="805"/>
      <c r="AB71" s="805"/>
      <c r="AC71" s="805"/>
      <c r="AD71" s="805"/>
      <c r="AE71" s="805"/>
      <c r="AF71" s="805"/>
      <c r="AG71" s="805"/>
      <c r="AH71" s="805"/>
      <c r="AI71" s="805"/>
      <c r="AJ71" s="805"/>
      <c r="AK71" s="806"/>
      <c r="AL71" s="19"/>
      <c r="AM71" s="526"/>
      <c r="AN71" s="526"/>
      <c r="AO71" s="526"/>
      <c r="AP71" s="526"/>
      <c r="AQ71" s="526"/>
      <c r="AR71" s="526"/>
      <c r="AS71" s="526"/>
      <c r="AT71" s="526"/>
      <c r="AU71" s="526"/>
      <c r="AV71" s="526"/>
      <c r="AW71" s="526"/>
      <c r="AX71" s="526"/>
      <c r="AY71" s="19"/>
      <c r="AZ71" s="13"/>
      <c r="BA71" s="801"/>
    </row>
    <row r="72" spans="1:53" ht="39.6" customHeight="1">
      <c r="A72" s="18"/>
      <c r="B72" s="667" t="s">
        <v>83</v>
      </c>
      <c r="C72" s="668"/>
      <c r="D72" s="668"/>
      <c r="E72" s="818" t="s">
        <v>30</v>
      </c>
      <c r="F72" s="819"/>
      <c r="G72" s="804" t="s">
        <v>2251</v>
      </c>
      <c r="H72" s="805"/>
      <c r="I72" s="805"/>
      <c r="J72" s="805"/>
      <c r="K72" s="805"/>
      <c r="L72" s="805"/>
      <c r="M72" s="805"/>
      <c r="N72" s="805"/>
      <c r="O72" s="805"/>
      <c r="P72" s="805"/>
      <c r="Q72" s="805"/>
      <c r="R72" s="805"/>
      <c r="S72" s="805"/>
      <c r="T72" s="805"/>
      <c r="U72" s="805"/>
      <c r="V72" s="805"/>
      <c r="W72" s="805"/>
      <c r="X72" s="805"/>
      <c r="Y72" s="805"/>
      <c r="Z72" s="805"/>
      <c r="AA72" s="805"/>
      <c r="AB72" s="805"/>
      <c r="AC72" s="805"/>
      <c r="AD72" s="805"/>
      <c r="AE72" s="805"/>
      <c r="AF72" s="805"/>
      <c r="AG72" s="805"/>
      <c r="AH72" s="805"/>
      <c r="AI72" s="805"/>
      <c r="AJ72" s="805"/>
      <c r="AK72" s="806"/>
      <c r="AL72" s="19"/>
      <c r="AM72" s="795" t="str">
        <f>IF(AI58="該当", "！この区分（４項目）から２つ以上の取組が選択されていません。",  "！この区分（４項目）から１つ以上の取組が選択されていません。")</f>
        <v>！この区分（４項目）から２つ以上の取組が選択されていません。</v>
      </c>
      <c r="AN72" s="796"/>
      <c r="AO72" s="796"/>
      <c r="AP72" s="796"/>
      <c r="AQ72" s="796"/>
      <c r="AR72" s="796"/>
      <c r="AS72" s="796"/>
      <c r="AT72" s="796"/>
      <c r="AU72" s="796"/>
      <c r="AV72" s="796"/>
      <c r="AW72" s="796"/>
      <c r="AX72" s="797"/>
      <c r="AY72" s="19"/>
      <c r="AZ72" s="13"/>
      <c r="BA72" s="801">
        <f>COUNTIF(E72:F75, "✓")+COUNTIF(E72:F75, "誓約")</f>
        <v>2</v>
      </c>
    </row>
    <row r="73" spans="1:53" ht="15" customHeight="1" thickBot="1">
      <c r="A73" s="18"/>
      <c r="B73" s="670"/>
      <c r="C73" s="671"/>
      <c r="D73" s="671"/>
      <c r="E73" s="802" t="s">
        <v>30</v>
      </c>
      <c r="F73" s="803"/>
      <c r="G73" s="804" t="s">
        <v>2252</v>
      </c>
      <c r="H73" s="805"/>
      <c r="I73" s="805"/>
      <c r="J73" s="805"/>
      <c r="K73" s="805"/>
      <c r="L73" s="805"/>
      <c r="M73" s="805"/>
      <c r="N73" s="805"/>
      <c r="O73" s="805"/>
      <c r="P73" s="805"/>
      <c r="Q73" s="805"/>
      <c r="R73" s="805"/>
      <c r="S73" s="805"/>
      <c r="T73" s="805"/>
      <c r="U73" s="805"/>
      <c r="V73" s="805"/>
      <c r="W73" s="805"/>
      <c r="X73" s="805"/>
      <c r="Y73" s="805"/>
      <c r="Z73" s="805"/>
      <c r="AA73" s="805"/>
      <c r="AB73" s="805"/>
      <c r="AC73" s="805"/>
      <c r="AD73" s="805"/>
      <c r="AE73" s="805"/>
      <c r="AF73" s="805"/>
      <c r="AG73" s="805"/>
      <c r="AH73" s="805"/>
      <c r="AI73" s="805"/>
      <c r="AJ73" s="805"/>
      <c r="AK73" s="806"/>
      <c r="AL73" s="19"/>
      <c r="AM73" s="798"/>
      <c r="AN73" s="799"/>
      <c r="AO73" s="799"/>
      <c r="AP73" s="799"/>
      <c r="AQ73" s="799"/>
      <c r="AR73" s="799"/>
      <c r="AS73" s="799"/>
      <c r="AT73" s="799"/>
      <c r="AU73" s="799"/>
      <c r="AV73" s="799"/>
      <c r="AW73" s="799"/>
      <c r="AX73" s="800"/>
      <c r="AY73" s="158"/>
      <c r="AZ73" s="164"/>
      <c r="BA73" s="801"/>
    </row>
    <row r="74" spans="1:53" ht="15" customHeight="1">
      <c r="A74" s="18"/>
      <c r="B74" s="670"/>
      <c r="C74" s="671"/>
      <c r="D74" s="671"/>
      <c r="E74" s="830"/>
      <c r="F74" s="831"/>
      <c r="G74" s="804" t="s">
        <v>84</v>
      </c>
      <c r="H74" s="805"/>
      <c r="I74" s="805"/>
      <c r="J74" s="805"/>
      <c r="K74" s="805"/>
      <c r="L74" s="805"/>
      <c r="M74" s="805"/>
      <c r="N74" s="805"/>
      <c r="O74" s="805"/>
      <c r="P74" s="805"/>
      <c r="Q74" s="805"/>
      <c r="R74" s="805"/>
      <c r="S74" s="805"/>
      <c r="T74" s="805"/>
      <c r="U74" s="805"/>
      <c r="V74" s="805"/>
      <c r="W74" s="805"/>
      <c r="X74" s="805"/>
      <c r="Y74" s="805"/>
      <c r="Z74" s="805"/>
      <c r="AA74" s="805"/>
      <c r="AB74" s="805"/>
      <c r="AC74" s="805"/>
      <c r="AD74" s="805"/>
      <c r="AE74" s="805"/>
      <c r="AF74" s="805"/>
      <c r="AG74" s="805"/>
      <c r="AH74" s="805"/>
      <c r="AI74" s="805"/>
      <c r="AJ74" s="805"/>
      <c r="AK74" s="806"/>
      <c r="AL74" s="19"/>
      <c r="AM74" s="525"/>
      <c r="AN74" s="158"/>
      <c r="AO74" s="158"/>
      <c r="AP74" s="158"/>
      <c r="AQ74" s="158"/>
      <c r="AR74" s="158"/>
      <c r="AS74" s="158"/>
      <c r="AT74" s="158"/>
      <c r="AU74" s="158"/>
      <c r="AV74" s="158"/>
      <c r="AW74" s="158"/>
      <c r="AX74" s="158"/>
      <c r="AY74" s="158"/>
      <c r="AZ74" s="164"/>
      <c r="BA74" s="801"/>
    </row>
    <row r="75" spans="1:53" ht="15" customHeight="1" thickBot="1">
      <c r="A75" s="18"/>
      <c r="B75" s="815"/>
      <c r="C75" s="816"/>
      <c r="D75" s="816"/>
      <c r="E75" s="824"/>
      <c r="F75" s="825"/>
      <c r="G75" s="804" t="s">
        <v>85</v>
      </c>
      <c r="H75" s="805"/>
      <c r="I75" s="805"/>
      <c r="J75" s="805"/>
      <c r="K75" s="805"/>
      <c r="L75" s="805"/>
      <c r="M75" s="805"/>
      <c r="N75" s="805"/>
      <c r="O75" s="805"/>
      <c r="P75" s="805"/>
      <c r="Q75" s="805"/>
      <c r="R75" s="805"/>
      <c r="S75" s="805"/>
      <c r="T75" s="805"/>
      <c r="U75" s="805"/>
      <c r="V75" s="805"/>
      <c r="W75" s="805"/>
      <c r="X75" s="805"/>
      <c r="Y75" s="805"/>
      <c r="Z75" s="805"/>
      <c r="AA75" s="805"/>
      <c r="AB75" s="805"/>
      <c r="AC75" s="805"/>
      <c r="AD75" s="805"/>
      <c r="AE75" s="805"/>
      <c r="AF75" s="805"/>
      <c r="AG75" s="805"/>
      <c r="AH75" s="805"/>
      <c r="AI75" s="805"/>
      <c r="AJ75" s="805"/>
      <c r="AK75" s="806"/>
      <c r="AL75" s="19"/>
      <c r="AM75" s="526"/>
      <c r="AN75" s="526"/>
      <c r="AO75" s="526"/>
      <c r="AP75" s="526"/>
      <c r="AQ75" s="526"/>
      <c r="AR75" s="526"/>
      <c r="AS75" s="526"/>
      <c r="AT75" s="526"/>
      <c r="AU75" s="526"/>
      <c r="AV75" s="526"/>
      <c r="AW75" s="526"/>
      <c r="AX75" s="526"/>
      <c r="AY75" s="19"/>
      <c r="AZ75" s="13"/>
      <c r="BA75" s="801"/>
    </row>
    <row r="76" spans="1:53" ht="15" customHeight="1">
      <c r="A76" s="18"/>
      <c r="B76" s="667" t="s">
        <v>86</v>
      </c>
      <c r="C76" s="668"/>
      <c r="D76" s="813"/>
      <c r="E76" s="818"/>
      <c r="F76" s="819"/>
      <c r="G76" s="804" t="s">
        <v>2253</v>
      </c>
      <c r="H76" s="805"/>
      <c r="I76" s="805"/>
      <c r="J76" s="805"/>
      <c r="K76" s="805"/>
      <c r="L76" s="805"/>
      <c r="M76" s="805"/>
      <c r="N76" s="805"/>
      <c r="O76" s="805"/>
      <c r="P76" s="805"/>
      <c r="Q76" s="805"/>
      <c r="R76" s="805"/>
      <c r="S76" s="805"/>
      <c r="T76" s="805"/>
      <c r="U76" s="805"/>
      <c r="V76" s="805"/>
      <c r="W76" s="805"/>
      <c r="X76" s="805"/>
      <c r="Y76" s="805"/>
      <c r="Z76" s="805"/>
      <c r="AA76" s="805"/>
      <c r="AB76" s="805"/>
      <c r="AC76" s="805"/>
      <c r="AD76" s="805"/>
      <c r="AE76" s="805"/>
      <c r="AF76" s="805"/>
      <c r="AG76" s="805"/>
      <c r="AH76" s="805"/>
      <c r="AI76" s="805"/>
      <c r="AJ76" s="805"/>
      <c r="AK76" s="806"/>
      <c r="AL76" s="19"/>
      <c r="AM76" s="795" t="str">
        <f>IF(AI58="該当", "！この区分（４項目）から２つ以上の取組が選択されていません。",  "！この区分（４項目）から１つ以上の取組が選択されていません。")</f>
        <v>！この区分（４項目）から２つ以上の取組が選択されていません。</v>
      </c>
      <c r="AN76" s="796"/>
      <c r="AO76" s="796"/>
      <c r="AP76" s="796"/>
      <c r="AQ76" s="796"/>
      <c r="AR76" s="796"/>
      <c r="AS76" s="796"/>
      <c r="AT76" s="796"/>
      <c r="AU76" s="796"/>
      <c r="AV76" s="796"/>
      <c r="AW76" s="796"/>
      <c r="AX76" s="797"/>
      <c r="AY76" s="19"/>
      <c r="AZ76" s="13"/>
      <c r="BA76" s="801">
        <f>COUNTIF(E76:F80, "✓")+COUNTIF(E76:F80, "誓約")</f>
        <v>2</v>
      </c>
    </row>
    <row r="77" spans="1:53" ht="28.15" customHeight="1" thickBot="1">
      <c r="A77" s="18"/>
      <c r="B77" s="670"/>
      <c r="C77" s="671"/>
      <c r="D77" s="814"/>
      <c r="E77" s="802" t="s">
        <v>30</v>
      </c>
      <c r="F77" s="803"/>
      <c r="G77" s="804" t="s">
        <v>87</v>
      </c>
      <c r="H77" s="805"/>
      <c r="I77" s="805"/>
      <c r="J77" s="805"/>
      <c r="K77" s="805"/>
      <c r="L77" s="805"/>
      <c r="M77" s="805"/>
      <c r="N77" s="805"/>
      <c r="O77" s="805"/>
      <c r="P77" s="805"/>
      <c r="Q77" s="805"/>
      <c r="R77" s="805"/>
      <c r="S77" s="805"/>
      <c r="T77" s="805"/>
      <c r="U77" s="805"/>
      <c r="V77" s="805"/>
      <c r="W77" s="805"/>
      <c r="X77" s="805"/>
      <c r="Y77" s="805"/>
      <c r="Z77" s="805"/>
      <c r="AA77" s="805"/>
      <c r="AB77" s="805"/>
      <c r="AC77" s="805"/>
      <c r="AD77" s="805"/>
      <c r="AE77" s="805"/>
      <c r="AF77" s="805"/>
      <c r="AG77" s="805"/>
      <c r="AH77" s="805"/>
      <c r="AI77" s="805"/>
      <c r="AJ77" s="805"/>
      <c r="AK77" s="806"/>
      <c r="AL77" s="19"/>
      <c r="AM77" s="798"/>
      <c r="AN77" s="799"/>
      <c r="AO77" s="799"/>
      <c r="AP77" s="799"/>
      <c r="AQ77" s="799"/>
      <c r="AR77" s="799"/>
      <c r="AS77" s="799"/>
      <c r="AT77" s="799"/>
      <c r="AU77" s="799"/>
      <c r="AV77" s="799"/>
      <c r="AW77" s="799"/>
      <c r="AX77" s="800"/>
      <c r="AY77" s="158"/>
      <c r="AZ77" s="164"/>
      <c r="BA77" s="801"/>
    </row>
    <row r="78" spans="1:53" ht="45.6" customHeight="1">
      <c r="A78" s="18"/>
      <c r="B78" s="670"/>
      <c r="C78" s="671"/>
      <c r="D78" s="814"/>
      <c r="E78" s="802"/>
      <c r="F78" s="803"/>
      <c r="G78" s="804" t="s">
        <v>2254</v>
      </c>
      <c r="H78" s="805"/>
      <c r="I78" s="805"/>
      <c r="J78" s="805"/>
      <c r="K78" s="805"/>
      <c r="L78" s="805"/>
      <c r="M78" s="805"/>
      <c r="N78" s="805"/>
      <c r="O78" s="805"/>
      <c r="P78" s="805"/>
      <c r="Q78" s="805"/>
      <c r="R78" s="805"/>
      <c r="S78" s="805"/>
      <c r="T78" s="805"/>
      <c r="U78" s="805"/>
      <c r="V78" s="805"/>
      <c r="W78" s="805"/>
      <c r="X78" s="805"/>
      <c r="Y78" s="805"/>
      <c r="Z78" s="805"/>
      <c r="AA78" s="805"/>
      <c r="AB78" s="805"/>
      <c r="AC78" s="805"/>
      <c r="AD78" s="805"/>
      <c r="AE78" s="805"/>
      <c r="AF78" s="805"/>
      <c r="AG78" s="805"/>
      <c r="AH78" s="805"/>
      <c r="AI78" s="805"/>
      <c r="AJ78" s="805"/>
      <c r="AK78" s="806"/>
      <c r="AL78" s="19"/>
      <c r="AM78" s="158"/>
      <c r="AN78" s="158"/>
      <c r="AO78" s="158"/>
      <c r="AP78" s="158"/>
      <c r="AQ78" s="158"/>
      <c r="AR78" s="158"/>
      <c r="AS78" s="158"/>
      <c r="AT78" s="158"/>
      <c r="AU78" s="158"/>
      <c r="AV78" s="158"/>
      <c r="AW78" s="158"/>
      <c r="AX78" s="158"/>
      <c r="AY78" s="158"/>
      <c r="AZ78" s="164"/>
      <c r="BA78" s="801"/>
    </row>
    <row r="79" spans="1:53" ht="27" customHeight="1" thickBot="1">
      <c r="A79" s="18"/>
      <c r="B79" s="670"/>
      <c r="C79" s="671"/>
      <c r="D79" s="814"/>
      <c r="E79" s="824" t="s">
        <v>30</v>
      </c>
      <c r="F79" s="825"/>
      <c r="G79" s="804" t="s">
        <v>2255</v>
      </c>
      <c r="H79" s="805"/>
      <c r="I79" s="805"/>
      <c r="J79" s="805"/>
      <c r="K79" s="805"/>
      <c r="L79" s="805"/>
      <c r="M79" s="805"/>
      <c r="N79" s="805"/>
      <c r="O79" s="805"/>
      <c r="P79" s="805"/>
      <c r="Q79" s="805"/>
      <c r="R79" s="805"/>
      <c r="S79" s="805"/>
      <c r="T79" s="805"/>
      <c r="U79" s="805"/>
      <c r="V79" s="805"/>
      <c r="W79" s="805"/>
      <c r="X79" s="805"/>
      <c r="Y79" s="805"/>
      <c r="Z79" s="805"/>
      <c r="AA79" s="805"/>
      <c r="AB79" s="805"/>
      <c r="AC79" s="805"/>
      <c r="AD79" s="805"/>
      <c r="AE79" s="805"/>
      <c r="AF79" s="805"/>
      <c r="AG79" s="805"/>
      <c r="AH79" s="805"/>
      <c r="AI79" s="805"/>
      <c r="AJ79" s="805"/>
      <c r="AK79" s="806"/>
      <c r="AL79" s="19"/>
      <c r="AM79" s="526"/>
      <c r="AN79" s="526"/>
      <c r="AO79" s="526"/>
      <c r="AP79" s="526"/>
      <c r="AQ79" s="526"/>
      <c r="AR79" s="526"/>
      <c r="AS79" s="526"/>
      <c r="AT79" s="526"/>
      <c r="AU79" s="526"/>
      <c r="AV79" s="526"/>
      <c r="AW79" s="526"/>
      <c r="AX79" s="526"/>
      <c r="AY79" s="19"/>
      <c r="AZ79" s="13"/>
      <c r="BA79" s="801"/>
    </row>
    <row r="80" spans="1:53" ht="15" customHeight="1" thickBot="1">
      <c r="A80" s="18"/>
      <c r="B80" s="815"/>
      <c r="C80" s="816"/>
      <c r="D80" s="817"/>
      <c r="E80" s="807"/>
      <c r="F80" s="808"/>
      <c r="G80" s="804" t="s">
        <v>2256</v>
      </c>
      <c r="H80" s="805"/>
      <c r="I80" s="805"/>
      <c r="J80" s="805"/>
      <c r="K80" s="805"/>
      <c r="L80" s="805"/>
      <c r="M80" s="805"/>
      <c r="N80" s="805"/>
      <c r="O80" s="805"/>
      <c r="P80" s="805"/>
      <c r="Q80" s="805"/>
      <c r="R80" s="805"/>
      <c r="S80" s="805"/>
      <c r="T80" s="805"/>
      <c r="U80" s="805"/>
      <c r="V80" s="805"/>
      <c r="W80" s="805"/>
      <c r="X80" s="805"/>
      <c r="Y80" s="805"/>
      <c r="Z80" s="805"/>
      <c r="AA80" s="805"/>
      <c r="AB80" s="805"/>
      <c r="AC80" s="805"/>
      <c r="AD80" s="805"/>
      <c r="AE80" s="805"/>
      <c r="AF80" s="805"/>
      <c r="AG80" s="805"/>
      <c r="AH80" s="805"/>
      <c r="AI80" s="805"/>
      <c r="AJ80" s="805"/>
      <c r="AK80" s="806"/>
      <c r="AL80" s="19"/>
      <c r="AM80" s="829" t="str">
        <f>IF(AI58="該当", "！この区分（４項目）から２つ以上の取組が選択されていません。",  "！この区分（４項目）から１つ以上の取組が選択されていません。")</f>
        <v>！この区分（４項目）から２つ以上の取組が選択されていません。</v>
      </c>
      <c r="AN80" s="796"/>
      <c r="AO80" s="796"/>
      <c r="AP80" s="796"/>
      <c r="AQ80" s="796"/>
      <c r="AR80" s="796"/>
      <c r="AS80" s="796"/>
      <c r="AT80" s="796"/>
      <c r="AU80" s="796"/>
      <c r="AV80" s="796"/>
      <c r="AW80" s="796"/>
      <c r="AX80" s="797"/>
      <c r="AY80" s="19"/>
      <c r="AZ80" s="13"/>
      <c r="BA80" s="801">
        <f>COUNTIF(E81:F84, "✓")+COUNTIF(E81:F84, "誓約")</f>
        <v>2</v>
      </c>
    </row>
    <row r="81" spans="1:53" ht="32.450000000000003" customHeight="1" thickBot="1">
      <c r="A81" s="18"/>
      <c r="B81" s="667" t="s">
        <v>88</v>
      </c>
      <c r="C81" s="668"/>
      <c r="D81" s="813"/>
      <c r="E81" s="802"/>
      <c r="F81" s="803"/>
      <c r="G81" s="804" t="s">
        <v>2257</v>
      </c>
      <c r="H81" s="805"/>
      <c r="I81" s="805"/>
      <c r="J81" s="805"/>
      <c r="K81" s="805"/>
      <c r="L81" s="805"/>
      <c r="M81" s="805"/>
      <c r="N81" s="805"/>
      <c r="O81" s="805"/>
      <c r="P81" s="805"/>
      <c r="Q81" s="805"/>
      <c r="R81" s="805"/>
      <c r="S81" s="805"/>
      <c r="T81" s="805"/>
      <c r="U81" s="805"/>
      <c r="V81" s="805"/>
      <c r="W81" s="805"/>
      <c r="X81" s="805"/>
      <c r="Y81" s="805"/>
      <c r="Z81" s="805"/>
      <c r="AA81" s="805"/>
      <c r="AB81" s="805"/>
      <c r="AC81" s="805"/>
      <c r="AD81" s="805"/>
      <c r="AE81" s="805"/>
      <c r="AF81" s="805"/>
      <c r="AG81" s="805"/>
      <c r="AH81" s="805"/>
      <c r="AI81" s="805"/>
      <c r="AJ81" s="805"/>
      <c r="AK81" s="806"/>
      <c r="AL81" s="18"/>
      <c r="AM81" s="798"/>
      <c r="AN81" s="799"/>
      <c r="AO81" s="799"/>
      <c r="AP81" s="799"/>
      <c r="AQ81" s="799"/>
      <c r="AR81" s="799"/>
      <c r="AS81" s="799"/>
      <c r="AT81" s="799"/>
      <c r="AU81" s="799"/>
      <c r="AV81" s="799"/>
      <c r="AW81" s="799"/>
      <c r="AX81" s="800"/>
      <c r="AY81" s="158"/>
      <c r="AZ81" s="164"/>
      <c r="BA81" s="801"/>
    </row>
    <row r="82" spans="1:53" ht="28.15" customHeight="1">
      <c r="A82" s="18"/>
      <c r="B82" s="670"/>
      <c r="C82" s="671"/>
      <c r="D82" s="814"/>
      <c r="E82" s="802"/>
      <c r="F82" s="803"/>
      <c r="G82" s="804" t="s">
        <v>2258</v>
      </c>
      <c r="H82" s="805"/>
      <c r="I82" s="805"/>
      <c r="J82" s="805"/>
      <c r="K82" s="805"/>
      <c r="L82" s="805"/>
      <c r="M82" s="805"/>
      <c r="N82" s="805"/>
      <c r="O82" s="805"/>
      <c r="P82" s="805"/>
      <c r="Q82" s="805"/>
      <c r="R82" s="805"/>
      <c r="S82" s="805"/>
      <c r="T82" s="805"/>
      <c r="U82" s="805"/>
      <c r="V82" s="805"/>
      <c r="W82" s="805"/>
      <c r="X82" s="805"/>
      <c r="Y82" s="805"/>
      <c r="Z82" s="805"/>
      <c r="AA82" s="805"/>
      <c r="AB82" s="805"/>
      <c r="AC82" s="805"/>
      <c r="AD82" s="805"/>
      <c r="AE82" s="805"/>
      <c r="AF82" s="805"/>
      <c r="AG82" s="805"/>
      <c r="AH82" s="805"/>
      <c r="AI82" s="805"/>
      <c r="AJ82" s="805"/>
      <c r="AK82" s="806"/>
      <c r="AL82" s="19"/>
      <c r="AM82" s="158"/>
      <c r="AN82" s="158"/>
      <c r="AO82" s="158"/>
      <c r="AP82" s="158"/>
      <c r="AQ82" s="158"/>
      <c r="AR82" s="158"/>
      <c r="AS82" s="158"/>
      <c r="AT82" s="158"/>
      <c r="AU82" s="158"/>
      <c r="AV82" s="158"/>
      <c r="AW82" s="158"/>
      <c r="AX82" s="158"/>
      <c r="AY82" s="158"/>
      <c r="AZ82" s="164"/>
      <c r="BA82" s="801"/>
    </row>
    <row r="83" spans="1:53" ht="29.25" customHeight="1">
      <c r="A83" s="18"/>
      <c r="B83" s="670"/>
      <c r="C83" s="671"/>
      <c r="D83" s="814"/>
      <c r="E83" s="824" t="s">
        <v>30</v>
      </c>
      <c r="F83" s="825"/>
      <c r="G83" s="804" t="s">
        <v>2263</v>
      </c>
      <c r="H83" s="805"/>
      <c r="I83" s="805"/>
      <c r="J83" s="805"/>
      <c r="K83" s="805"/>
      <c r="L83" s="805"/>
      <c r="M83" s="805"/>
      <c r="N83" s="805"/>
      <c r="O83" s="805"/>
      <c r="P83" s="805"/>
      <c r="Q83" s="805"/>
      <c r="R83" s="805"/>
      <c r="S83" s="805"/>
      <c r="T83" s="805"/>
      <c r="U83" s="805"/>
      <c r="V83" s="805"/>
      <c r="W83" s="805"/>
      <c r="X83" s="805"/>
      <c r="Y83" s="805"/>
      <c r="Z83" s="805"/>
      <c r="AA83" s="805"/>
      <c r="AB83" s="805"/>
      <c r="AC83" s="805"/>
      <c r="AD83" s="805"/>
      <c r="AE83" s="805"/>
      <c r="AF83" s="805"/>
      <c r="AG83" s="805"/>
      <c r="AH83" s="805"/>
      <c r="AI83" s="805"/>
      <c r="AJ83" s="805"/>
      <c r="AK83" s="806"/>
      <c r="AL83" s="19"/>
      <c r="AM83" s="158"/>
      <c r="AN83" s="158"/>
      <c r="AO83" s="158"/>
      <c r="AP83" s="158"/>
      <c r="AQ83" s="158"/>
      <c r="AR83" s="158"/>
      <c r="AS83" s="158"/>
      <c r="AT83" s="158"/>
      <c r="AU83" s="158"/>
      <c r="AV83" s="158"/>
      <c r="AW83" s="158"/>
      <c r="AX83" s="158"/>
      <c r="AY83" s="19"/>
      <c r="AZ83" s="13"/>
      <c r="BA83" s="801"/>
    </row>
    <row r="84" spans="1:53" ht="28.15" customHeight="1" thickBot="1">
      <c r="A84" s="18"/>
      <c r="B84" s="815"/>
      <c r="C84" s="816"/>
      <c r="D84" s="817"/>
      <c r="E84" s="807" t="s">
        <v>30</v>
      </c>
      <c r="F84" s="808"/>
      <c r="G84" s="804" t="s">
        <v>2259</v>
      </c>
      <c r="H84" s="805"/>
      <c r="I84" s="805"/>
      <c r="J84" s="805"/>
      <c r="K84" s="805"/>
      <c r="L84" s="805"/>
      <c r="M84" s="805"/>
      <c r="N84" s="805"/>
      <c r="O84" s="805"/>
      <c r="P84" s="805"/>
      <c r="Q84" s="805"/>
      <c r="R84" s="805"/>
      <c r="S84" s="805"/>
      <c r="T84" s="805"/>
      <c r="U84" s="805"/>
      <c r="V84" s="805"/>
      <c r="W84" s="805"/>
      <c r="X84" s="805"/>
      <c r="Y84" s="805"/>
      <c r="Z84" s="805"/>
      <c r="AA84" s="805"/>
      <c r="AB84" s="805"/>
      <c r="AC84" s="805"/>
      <c r="AD84" s="805"/>
      <c r="AE84" s="805"/>
      <c r="AF84" s="805"/>
      <c r="AG84" s="805"/>
      <c r="AH84" s="805"/>
      <c r="AI84" s="805"/>
      <c r="AJ84" s="805"/>
      <c r="AK84" s="806"/>
      <c r="AL84" s="19"/>
      <c r="AM84" s="820"/>
      <c r="AN84" s="820"/>
      <c r="AO84" s="820"/>
      <c r="AP84" s="820"/>
      <c r="AQ84" s="820"/>
      <c r="AR84" s="820"/>
      <c r="AS84" s="820"/>
      <c r="AT84" s="820"/>
      <c r="AU84" s="820"/>
      <c r="AV84" s="820"/>
      <c r="AW84" s="820"/>
      <c r="AX84" s="820"/>
      <c r="AY84" s="19"/>
      <c r="AZ84" s="13"/>
      <c r="BA84" s="821">
        <f>COUNTIF(E85:F91, "✓")+COUNTIF(E85:F91, "誓約")</f>
        <v>1</v>
      </c>
    </row>
    <row r="85" spans="1:53" ht="15" customHeight="1" thickBot="1">
      <c r="A85" s="18"/>
      <c r="B85" s="667" t="s">
        <v>89</v>
      </c>
      <c r="C85" s="668"/>
      <c r="D85" s="813"/>
      <c r="E85" s="802" t="s">
        <v>267</v>
      </c>
      <c r="F85" s="803"/>
      <c r="G85" s="804" t="s">
        <v>90</v>
      </c>
      <c r="H85" s="805"/>
      <c r="I85" s="805"/>
      <c r="J85" s="805"/>
      <c r="K85" s="805"/>
      <c r="L85" s="805"/>
      <c r="M85" s="805"/>
      <c r="N85" s="805"/>
      <c r="O85" s="805"/>
      <c r="P85" s="805"/>
      <c r="Q85" s="805"/>
      <c r="R85" s="805"/>
      <c r="S85" s="805"/>
      <c r="T85" s="805"/>
      <c r="U85" s="805"/>
      <c r="V85" s="805"/>
      <c r="W85" s="805"/>
      <c r="X85" s="805"/>
      <c r="Y85" s="805"/>
      <c r="Z85" s="805"/>
      <c r="AA85" s="805"/>
      <c r="AB85" s="805"/>
      <c r="AC85" s="805"/>
      <c r="AD85" s="805"/>
      <c r="AE85" s="805"/>
      <c r="AF85" s="805"/>
      <c r="AG85" s="805"/>
      <c r="AH85" s="805"/>
      <c r="AI85" s="805"/>
      <c r="AJ85" s="805"/>
      <c r="AK85" s="806"/>
      <c r="AL85" s="19"/>
      <c r="AM85" s="826" t="str">
        <f>IF(AND(AI58="該当", E85= ""), "！⑱の取組は必須です。",  "")</f>
        <v/>
      </c>
      <c r="AN85" s="827"/>
      <c r="AO85" s="827"/>
      <c r="AP85" s="827"/>
      <c r="AQ85" s="827"/>
      <c r="AR85" s="827"/>
      <c r="AS85" s="827"/>
      <c r="AT85" s="827"/>
      <c r="AU85" s="827"/>
      <c r="AV85" s="827"/>
      <c r="AW85" s="827"/>
      <c r="AX85" s="828"/>
      <c r="AY85" s="158"/>
      <c r="AZ85" s="164"/>
      <c r="BA85" s="822"/>
    </row>
    <row r="86" spans="1:53" ht="26.45" customHeight="1">
      <c r="A86" s="18"/>
      <c r="B86" s="670"/>
      <c r="C86" s="671"/>
      <c r="D86" s="814"/>
      <c r="E86" s="802"/>
      <c r="F86" s="803"/>
      <c r="G86" s="804" t="s">
        <v>91</v>
      </c>
      <c r="H86" s="805"/>
      <c r="I86" s="805"/>
      <c r="J86" s="805"/>
      <c r="K86" s="805"/>
      <c r="L86" s="805"/>
      <c r="M86" s="805"/>
      <c r="N86" s="805"/>
      <c r="O86" s="805"/>
      <c r="P86" s="805"/>
      <c r="Q86" s="805"/>
      <c r="R86" s="805"/>
      <c r="S86" s="805"/>
      <c r="T86" s="805"/>
      <c r="U86" s="805"/>
      <c r="V86" s="805"/>
      <c r="W86" s="805"/>
      <c r="X86" s="805"/>
      <c r="Y86" s="805"/>
      <c r="Z86" s="805"/>
      <c r="AA86" s="805"/>
      <c r="AB86" s="805"/>
      <c r="AC86" s="805"/>
      <c r="AD86" s="805"/>
      <c r="AE86" s="805"/>
      <c r="AF86" s="805"/>
      <c r="AG86" s="805"/>
      <c r="AH86" s="805"/>
      <c r="AI86" s="805"/>
      <c r="AJ86" s="805"/>
      <c r="AK86" s="806"/>
      <c r="AL86" s="19"/>
      <c r="AM86" s="795" t="str">
        <f>IF(AI58="該当", "！この区分（８項目）から３つ以上の取組が選択されていません。",  "！この区分（４項目）から２つ以上の取組が選択されていません。")</f>
        <v>！この区分（８項目）から３つ以上の取組が選択されていません。</v>
      </c>
      <c r="AN86" s="796"/>
      <c r="AO86" s="796"/>
      <c r="AP86" s="796"/>
      <c r="AQ86" s="796"/>
      <c r="AR86" s="796"/>
      <c r="AS86" s="796"/>
      <c r="AT86" s="796"/>
      <c r="AU86" s="796"/>
      <c r="AV86" s="796"/>
      <c r="AW86" s="796"/>
      <c r="AX86" s="797"/>
      <c r="AY86" s="158"/>
      <c r="AZ86" s="164"/>
      <c r="BA86" s="822"/>
    </row>
    <row r="87" spans="1:53" ht="15" customHeight="1" thickBot="1">
      <c r="A87" s="18"/>
      <c r="B87" s="670"/>
      <c r="C87" s="671"/>
      <c r="D87" s="814"/>
      <c r="E87" s="802"/>
      <c r="F87" s="803"/>
      <c r="G87" s="804" t="s">
        <v>92</v>
      </c>
      <c r="H87" s="805"/>
      <c r="I87" s="805"/>
      <c r="J87" s="805"/>
      <c r="K87" s="805"/>
      <c r="L87" s="805"/>
      <c r="M87" s="805"/>
      <c r="N87" s="805"/>
      <c r="O87" s="805"/>
      <c r="P87" s="805"/>
      <c r="Q87" s="805"/>
      <c r="R87" s="805"/>
      <c r="S87" s="805"/>
      <c r="T87" s="805"/>
      <c r="U87" s="805"/>
      <c r="V87" s="805"/>
      <c r="W87" s="805"/>
      <c r="X87" s="805"/>
      <c r="Y87" s="805"/>
      <c r="Z87" s="805"/>
      <c r="AA87" s="805"/>
      <c r="AB87" s="805"/>
      <c r="AC87" s="805"/>
      <c r="AD87" s="805"/>
      <c r="AE87" s="805"/>
      <c r="AF87" s="805"/>
      <c r="AG87" s="805"/>
      <c r="AH87" s="805"/>
      <c r="AI87" s="805"/>
      <c r="AJ87" s="805"/>
      <c r="AK87" s="806"/>
      <c r="AL87" s="19"/>
      <c r="AM87" s="798"/>
      <c r="AN87" s="799"/>
      <c r="AO87" s="799"/>
      <c r="AP87" s="799"/>
      <c r="AQ87" s="799"/>
      <c r="AR87" s="799"/>
      <c r="AS87" s="799"/>
      <c r="AT87" s="799"/>
      <c r="AU87" s="799"/>
      <c r="AV87" s="799"/>
      <c r="AW87" s="799"/>
      <c r="AX87" s="800"/>
      <c r="AY87" s="19"/>
      <c r="AZ87" s="13"/>
      <c r="BA87" s="822"/>
    </row>
    <row r="88" spans="1:53" ht="27.6" customHeight="1">
      <c r="A88" s="18"/>
      <c r="B88" s="670"/>
      <c r="C88" s="671"/>
      <c r="D88" s="814"/>
      <c r="E88" s="802"/>
      <c r="F88" s="803"/>
      <c r="G88" s="804" t="s">
        <v>2260</v>
      </c>
      <c r="H88" s="805"/>
      <c r="I88" s="805"/>
      <c r="J88" s="805"/>
      <c r="K88" s="805"/>
      <c r="L88" s="805"/>
      <c r="M88" s="805"/>
      <c r="N88" s="805"/>
      <c r="O88" s="805"/>
      <c r="P88" s="805"/>
      <c r="Q88" s="805"/>
      <c r="R88" s="805"/>
      <c r="S88" s="805"/>
      <c r="T88" s="805"/>
      <c r="U88" s="805"/>
      <c r="V88" s="805"/>
      <c r="W88" s="805"/>
      <c r="X88" s="805"/>
      <c r="Y88" s="805"/>
      <c r="Z88" s="805"/>
      <c r="AA88" s="805"/>
      <c r="AB88" s="805"/>
      <c r="AC88" s="805"/>
      <c r="AD88" s="805"/>
      <c r="AE88" s="805"/>
      <c r="AF88" s="805"/>
      <c r="AG88" s="805"/>
      <c r="AH88" s="805"/>
      <c r="AI88" s="805"/>
      <c r="AJ88" s="805"/>
      <c r="AK88" s="806"/>
      <c r="AL88" s="19"/>
      <c r="AM88" s="158"/>
      <c r="AN88" s="158"/>
      <c r="AO88" s="158"/>
      <c r="AP88" s="158"/>
      <c r="AQ88" s="158"/>
      <c r="AR88" s="158"/>
      <c r="AS88" s="158"/>
      <c r="AT88" s="158"/>
      <c r="AU88" s="158"/>
      <c r="AV88" s="158"/>
      <c r="AW88" s="158"/>
      <c r="AX88" s="158"/>
      <c r="AY88" s="158"/>
      <c r="AZ88" s="164"/>
      <c r="BA88" s="822"/>
    </row>
    <row r="89" spans="1:53" ht="28.15" customHeight="1">
      <c r="A89" s="18"/>
      <c r="B89" s="670"/>
      <c r="C89" s="671"/>
      <c r="D89" s="814"/>
      <c r="E89" s="802"/>
      <c r="F89" s="803"/>
      <c r="G89" s="804" t="s">
        <v>93</v>
      </c>
      <c r="H89" s="805"/>
      <c r="I89" s="805"/>
      <c r="J89" s="805"/>
      <c r="K89" s="805"/>
      <c r="L89" s="805"/>
      <c r="M89" s="805"/>
      <c r="N89" s="805"/>
      <c r="O89" s="805"/>
      <c r="P89" s="805"/>
      <c r="Q89" s="805"/>
      <c r="R89" s="805"/>
      <c r="S89" s="805"/>
      <c r="T89" s="805"/>
      <c r="U89" s="805"/>
      <c r="V89" s="805"/>
      <c r="W89" s="805"/>
      <c r="X89" s="805"/>
      <c r="Y89" s="805"/>
      <c r="Z89" s="805"/>
      <c r="AA89" s="805"/>
      <c r="AB89" s="805"/>
      <c r="AC89" s="805"/>
      <c r="AD89" s="805"/>
      <c r="AE89" s="805"/>
      <c r="AF89" s="805"/>
      <c r="AG89" s="805"/>
      <c r="AH89" s="805"/>
      <c r="AI89" s="805"/>
      <c r="AJ89" s="805"/>
      <c r="AK89" s="806"/>
      <c r="AL89" s="19"/>
      <c r="AM89" s="158"/>
      <c r="AN89" s="158"/>
      <c r="AO89" s="158"/>
      <c r="AP89" s="158"/>
      <c r="AQ89" s="158"/>
      <c r="AR89" s="158"/>
      <c r="AS89" s="158"/>
      <c r="AT89" s="158"/>
      <c r="AU89" s="158"/>
      <c r="AV89" s="158"/>
      <c r="AW89" s="158"/>
      <c r="AX89" s="158"/>
      <c r="AY89" s="158"/>
      <c r="AZ89" s="164"/>
      <c r="BA89" s="822"/>
    </row>
    <row r="90" spans="1:53" ht="46.9" customHeight="1">
      <c r="A90" s="18"/>
      <c r="B90" s="670"/>
      <c r="C90" s="671"/>
      <c r="D90" s="814"/>
      <c r="E90" s="802"/>
      <c r="F90" s="803"/>
      <c r="G90" s="804" t="s">
        <v>2264</v>
      </c>
      <c r="H90" s="805"/>
      <c r="I90" s="805"/>
      <c r="J90" s="805"/>
      <c r="K90" s="805"/>
      <c r="L90" s="805"/>
      <c r="M90" s="805"/>
      <c r="N90" s="805"/>
      <c r="O90" s="805"/>
      <c r="P90" s="805"/>
      <c r="Q90" s="805"/>
      <c r="R90" s="805"/>
      <c r="S90" s="805"/>
      <c r="T90" s="805"/>
      <c r="U90" s="805"/>
      <c r="V90" s="805"/>
      <c r="W90" s="805"/>
      <c r="X90" s="805"/>
      <c r="Y90" s="805"/>
      <c r="Z90" s="805"/>
      <c r="AA90" s="805"/>
      <c r="AB90" s="805"/>
      <c r="AC90" s="805"/>
      <c r="AD90" s="805"/>
      <c r="AE90" s="805"/>
      <c r="AF90" s="805"/>
      <c r="AG90" s="805"/>
      <c r="AH90" s="805"/>
      <c r="AI90" s="805"/>
      <c r="AJ90" s="805"/>
      <c r="AK90" s="806"/>
      <c r="AL90" s="19"/>
      <c r="AM90" s="158"/>
      <c r="AN90" s="158"/>
      <c r="AO90" s="158"/>
      <c r="AP90" s="158"/>
      <c r="AQ90" s="158"/>
      <c r="AR90" s="158"/>
      <c r="AS90" s="158"/>
      <c r="AT90" s="158"/>
      <c r="AU90" s="158"/>
      <c r="AV90" s="158"/>
      <c r="AW90" s="158"/>
      <c r="AX90" s="158"/>
      <c r="AY90" s="19"/>
      <c r="AZ90" s="13"/>
      <c r="BA90" s="822"/>
    </row>
    <row r="91" spans="1:53" ht="42.6" customHeight="1">
      <c r="A91" s="18"/>
      <c r="B91" s="670"/>
      <c r="C91" s="671"/>
      <c r="D91" s="814"/>
      <c r="E91" s="802"/>
      <c r="F91" s="803"/>
      <c r="G91" s="804" t="s">
        <v>94</v>
      </c>
      <c r="H91" s="805"/>
      <c r="I91" s="805"/>
      <c r="J91" s="805"/>
      <c r="K91" s="805"/>
      <c r="L91" s="805"/>
      <c r="M91" s="805"/>
      <c r="N91" s="805"/>
      <c r="O91" s="805"/>
      <c r="P91" s="805"/>
      <c r="Q91" s="805"/>
      <c r="R91" s="805"/>
      <c r="S91" s="805"/>
      <c r="T91" s="805"/>
      <c r="U91" s="805"/>
      <c r="V91" s="805"/>
      <c r="W91" s="805"/>
      <c r="X91" s="805"/>
      <c r="Y91" s="805"/>
      <c r="Z91" s="805"/>
      <c r="AA91" s="805"/>
      <c r="AB91" s="805"/>
      <c r="AC91" s="805"/>
      <c r="AD91" s="805"/>
      <c r="AE91" s="805"/>
      <c r="AF91" s="805"/>
      <c r="AG91" s="805"/>
      <c r="AH91" s="805"/>
      <c r="AI91" s="805"/>
      <c r="AJ91" s="805"/>
      <c r="AK91" s="806"/>
      <c r="AL91" s="19"/>
      <c r="AM91" s="158"/>
      <c r="AN91" s="158"/>
      <c r="AO91" s="158"/>
      <c r="AP91" s="158"/>
      <c r="AQ91" s="158"/>
      <c r="AR91" s="158"/>
      <c r="AS91" s="158"/>
      <c r="AT91" s="158"/>
      <c r="AU91" s="158"/>
      <c r="AV91" s="158"/>
      <c r="AW91" s="158"/>
      <c r="AX91" s="158"/>
      <c r="AY91" s="19"/>
      <c r="AZ91" s="13"/>
      <c r="BA91" s="823"/>
    </row>
    <row r="92" spans="1:53" ht="28.15" customHeight="1" thickBot="1">
      <c r="A92" s="18"/>
      <c r="B92" s="815"/>
      <c r="C92" s="816"/>
      <c r="D92" s="817"/>
      <c r="E92" s="807" t="s">
        <v>267</v>
      </c>
      <c r="F92" s="808"/>
      <c r="G92" s="810" t="s">
        <v>95</v>
      </c>
      <c r="H92" s="811"/>
      <c r="I92" s="811"/>
      <c r="J92" s="811"/>
      <c r="K92" s="811"/>
      <c r="L92" s="811"/>
      <c r="M92" s="811"/>
      <c r="N92" s="811"/>
      <c r="O92" s="811"/>
      <c r="P92" s="811"/>
      <c r="Q92" s="811"/>
      <c r="R92" s="811"/>
      <c r="S92" s="811"/>
      <c r="T92" s="811"/>
      <c r="U92" s="811"/>
      <c r="V92" s="811"/>
      <c r="W92" s="811"/>
      <c r="X92" s="811"/>
      <c r="Y92" s="811"/>
      <c r="Z92" s="811"/>
      <c r="AA92" s="811"/>
      <c r="AB92" s="811"/>
      <c r="AC92" s="811"/>
      <c r="AD92" s="811"/>
      <c r="AE92" s="811"/>
      <c r="AF92" s="811"/>
      <c r="AG92" s="811"/>
      <c r="AH92" s="811"/>
      <c r="AI92" s="811"/>
      <c r="AJ92" s="811"/>
      <c r="AK92" s="812"/>
      <c r="AL92" s="19"/>
      <c r="AM92" s="158"/>
      <c r="AN92" s="158"/>
      <c r="AO92" s="158"/>
      <c r="AP92" s="158"/>
      <c r="AQ92" s="158"/>
      <c r="AR92" s="158"/>
      <c r="AS92" s="158"/>
      <c r="AT92" s="158"/>
      <c r="AU92" s="158"/>
      <c r="AV92" s="158"/>
      <c r="AW92" s="158"/>
      <c r="AX92" s="158"/>
      <c r="AY92" s="19"/>
      <c r="AZ92" s="13"/>
      <c r="BA92" s="532"/>
    </row>
    <row r="93" spans="1:53" ht="24" customHeight="1">
      <c r="A93" s="18"/>
      <c r="B93" s="667" t="s">
        <v>96</v>
      </c>
      <c r="C93" s="668"/>
      <c r="D93" s="813"/>
      <c r="E93" s="818" t="s">
        <v>30</v>
      </c>
      <c r="F93" s="819"/>
      <c r="G93" s="804" t="s">
        <v>2265</v>
      </c>
      <c r="H93" s="805"/>
      <c r="I93" s="805"/>
      <c r="J93" s="805"/>
      <c r="K93" s="805"/>
      <c r="L93" s="805"/>
      <c r="M93" s="805"/>
      <c r="N93" s="805"/>
      <c r="O93" s="805"/>
      <c r="P93" s="805"/>
      <c r="Q93" s="805"/>
      <c r="R93" s="805"/>
      <c r="S93" s="805"/>
      <c r="T93" s="805"/>
      <c r="U93" s="805"/>
      <c r="V93" s="805"/>
      <c r="W93" s="805"/>
      <c r="X93" s="805"/>
      <c r="Y93" s="805"/>
      <c r="Z93" s="805"/>
      <c r="AA93" s="805"/>
      <c r="AB93" s="805"/>
      <c r="AC93" s="805"/>
      <c r="AD93" s="805"/>
      <c r="AE93" s="805"/>
      <c r="AF93" s="805"/>
      <c r="AG93" s="805"/>
      <c r="AH93" s="805"/>
      <c r="AI93" s="805"/>
      <c r="AJ93" s="805"/>
      <c r="AK93" s="806"/>
      <c r="AL93" s="165"/>
      <c r="AM93" s="795" t="str">
        <f>IF(AI58="該当", "！この区分（４項目）から２つ以上の取組が選択されていません。",  "！この区分（４項目）から１つ以上の取組が選択されていません。")</f>
        <v>！この区分（４項目）から２つ以上の取組が選択されていません。</v>
      </c>
      <c r="AN93" s="796"/>
      <c r="AO93" s="796"/>
      <c r="AP93" s="796"/>
      <c r="AQ93" s="796"/>
      <c r="AR93" s="796"/>
      <c r="AS93" s="796"/>
      <c r="AT93" s="796"/>
      <c r="AU93" s="796"/>
      <c r="AV93" s="796"/>
      <c r="AW93" s="796"/>
      <c r="AX93" s="797"/>
      <c r="AY93" s="19"/>
      <c r="AZ93" s="13"/>
      <c r="BA93" s="801">
        <f>COUNTIF(E93:F96, "✓")+COUNTIF(E93:F96, "誓約")</f>
        <v>2</v>
      </c>
    </row>
    <row r="94" spans="1:53" ht="27.75" customHeight="1" thickBot="1">
      <c r="A94" s="18"/>
      <c r="B94" s="670"/>
      <c r="C94" s="671"/>
      <c r="D94" s="814"/>
      <c r="E94" s="802" t="s">
        <v>30</v>
      </c>
      <c r="F94" s="803"/>
      <c r="G94" s="804" t="s">
        <v>2266</v>
      </c>
      <c r="H94" s="805"/>
      <c r="I94" s="805"/>
      <c r="J94" s="805"/>
      <c r="K94" s="805"/>
      <c r="L94" s="805"/>
      <c r="M94" s="805"/>
      <c r="N94" s="805"/>
      <c r="O94" s="805"/>
      <c r="P94" s="805"/>
      <c r="Q94" s="805"/>
      <c r="R94" s="805"/>
      <c r="S94" s="805"/>
      <c r="T94" s="805"/>
      <c r="U94" s="805"/>
      <c r="V94" s="805"/>
      <c r="W94" s="805"/>
      <c r="X94" s="805"/>
      <c r="Y94" s="805"/>
      <c r="Z94" s="805"/>
      <c r="AA94" s="805"/>
      <c r="AB94" s="805"/>
      <c r="AC94" s="805"/>
      <c r="AD94" s="805"/>
      <c r="AE94" s="805"/>
      <c r="AF94" s="805"/>
      <c r="AG94" s="805"/>
      <c r="AH94" s="805"/>
      <c r="AI94" s="805"/>
      <c r="AJ94" s="805"/>
      <c r="AK94" s="806"/>
      <c r="AL94" s="19"/>
      <c r="AM94" s="798"/>
      <c r="AN94" s="799"/>
      <c r="AO94" s="799"/>
      <c r="AP94" s="799"/>
      <c r="AQ94" s="799"/>
      <c r="AR94" s="799"/>
      <c r="AS94" s="799"/>
      <c r="AT94" s="799"/>
      <c r="AU94" s="799"/>
      <c r="AV94" s="799"/>
      <c r="AW94" s="799"/>
      <c r="AX94" s="800"/>
      <c r="AY94" s="158"/>
      <c r="AZ94" s="164"/>
      <c r="BA94" s="801"/>
    </row>
    <row r="95" spans="1:53" ht="15" customHeight="1">
      <c r="A95" s="18"/>
      <c r="B95" s="670"/>
      <c r="C95" s="671"/>
      <c r="D95" s="814"/>
      <c r="E95" s="802"/>
      <c r="F95" s="803"/>
      <c r="G95" s="804" t="s">
        <v>2261</v>
      </c>
      <c r="H95" s="805"/>
      <c r="I95" s="805"/>
      <c r="J95" s="805"/>
      <c r="K95" s="805"/>
      <c r="L95" s="805"/>
      <c r="M95" s="805"/>
      <c r="N95" s="805"/>
      <c r="O95" s="805"/>
      <c r="P95" s="805"/>
      <c r="Q95" s="805"/>
      <c r="R95" s="805"/>
      <c r="S95" s="805"/>
      <c r="T95" s="805"/>
      <c r="U95" s="805"/>
      <c r="V95" s="805"/>
      <c r="W95" s="805"/>
      <c r="X95" s="805"/>
      <c r="Y95" s="805"/>
      <c r="Z95" s="805"/>
      <c r="AA95" s="805"/>
      <c r="AB95" s="805"/>
      <c r="AC95" s="805"/>
      <c r="AD95" s="805"/>
      <c r="AE95" s="805"/>
      <c r="AF95" s="805"/>
      <c r="AG95" s="805"/>
      <c r="AH95" s="805"/>
      <c r="AI95" s="805"/>
      <c r="AJ95" s="805"/>
      <c r="AK95" s="806"/>
      <c r="AL95" s="19"/>
      <c r="AM95" s="533"/>
      <c r="AN95" s="533"/>
      <c r="AO95" s="533"/>
      <c r="AP95" s="533"/>
      <c r="AQ95" s="533"/>
      <c r="AR95" s="533"/>
      <c r="AS95" s="533"/>
      <c r="AT95" s="533"/>
      <c r="AU95" s="533"/>
      <c r="AV95" s="533"/>
      <c r="AW95" s="533"/>
      <c r="AX95" s="533"/>
      <c r="AY95" s="158"/>
      <c r="AZ95" s="164"/>
      <c r="BA95" s="801"/>
    </row>
    <row r="96" spans="1:53" ht="15" customHeight="1" thickBot="1">
      <c r="A96" s="18"/>
      <c r="B96" s="815"/>
      <c r="C96" s="816"/>
      <c r="D96" s="817"/>
      <c r="E96" s="807"/>
      <c r="F96" s="808"/>
      <c r="G96" s="806" t="s">
        <v>2262</v>
      </c>
      <c r="H96" s="809"/>
      <c r="I96" s="809"/>
      <c r="J96" s="809"/>
      <c r="K96" s="809"/>
      <c r="L96" s="809"/>
      <c r="M96" s="809"/>
      <c r="N96" s="809"/>
      <c r="O96" s="809"/>
      <c r="P96" s="809"/>
      <c r="Q96" s="809"/>
      <c r="R96" s="809"/>
      <c r="S96" s="809"/>
      <c r="T96" s="809"/>
      <c r="U96" s="809"/>
      <c r="V96" s="809"/>
      <c r="W96" s="809"/>
      <c r="X96" s="809"/>
      <c r="Y96" s="809"/>
      <c r="Z96" s="809"/>
      <c r="AA96" s="809"/>
      <c r="AB96" s="809"/>
      <c r="AC96" s="809"/>
      <c r="AD96" s="809"/>
      <c r="AE96" s="809"/>
      <c r="AF96" s="809"/>
      <c r="AG96" s="809"/>
      <c r="AH96" s="809"/>
      <c r="AI96" s="809"/>
      <c r="AJ96" s="809"/>
      <c r="AK96" s="809"/>
      <c r="AL96" s="18"/>
      <c r="AM96" s="533"/>
      <c r="AN96" s="533"/>
      <c r="AO96" s="533"/>
      <c r="AP96" s="533"/>
      <c r="AQ96" s="533"/>
      <c r="AR96" s="533"/>
      <c r="AS96" s="533"/>
      <c r="AT96" s="533"/>
      <c r="AU96" s="533"/>
      <c r="AV96" s="533"/>
      <c r="AW96" s="533"/>
      <c r="AX96" s="533"/>
      <c r="AY96" s="18"/>
      <c r="BA96" s="801"/>
    </row>
    <row r="97" spans="1:56" ht="6"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45" customHeight="1" thickBot="1">
      <c r="A98" s="165"/>
      <c r="B98" s="538" t="s">
        <v>97</v>
      </c>
      <c r="C98" s="539"/>
      <c r="D98" s="539"/>
      <c r="E98" s="539"/>
      <c r="F98" s="539"/>
      <c r="G98" s="539"/>
      <c r="H98" s="539"/>
      <c r="I98" s="539"/>
      <c r="J98" s="539"/>
      <c r="K98" s="539"/>
      <c r="L98" s="539"/>
      <c r="M98" s="539"/>
      <c r="N98" s="539"/>
      <c r="O98" s="539"/>
      <c r="P98" s="539"/>
      <c r="Q98" s="539"/>
      <c r="R98" s="539"/>
      <c r="S98" s="539"/>
      <c r="T98" s="539"/>
      <c r="U98" s="539"/>
      <c r="V98" s="539"/>
      <c r="W98" s="539"/>
      <c r="X98" s="539"/>
      <c r="Y98" s="539"/>
      <c r="Z98" s="539"/>
      <c r="AA98" s="539"/>
      <c r="AB98" s="539"/>
      <c r="AC98" s="539"/>
      <c r="AD98" s="539"/>
      <c r="AE98" s="539"/>
      <c r="AF98" s="539"/>
      <c r="AG98" s="539"/>
      <c r="AH98" s="539"/>
      <c r="AI98" s="539"/>
      <c r="AJ98" s="539"/>
      <c r="AK98" s="539"/>
      <c r="AL98" s="19"/>
      <c r="AM98" s="165"/>
      <c r="AN98" s="168"/>
      <c r="AO98" s="169"/>
      <c r="AP98" s="169"/>
      <c r="AQ98" s="169"/>
      <c r="AR98" s="169"/>
      <c r="AS98" s="169"/>
      <c r="AT98" s="169"/>
      <c r="AU98" s="169"/>
      <c r="AV98" s="169"/>
      <c r="AW98" s="169"/>
      <c r="AX98" s="169"/>
      <c r="AY98" s="169"/>
      <c r="AZ98" s="170"/>
    </row>
    <row r="99" spans="1:56" s="170" customFormat="1" ht="18.600000000000001" customHeight="1" thickBot="1">
      <c r="A99" s="165"/>
      <c r="B99" s="171" t="s">
        <v>58</v>
      </c>
      <c r="C99" s="775" t="s">
        <v>2194</v>
      </c>
      <c r="D99" s="775"/>
      <c r="E99" s="775"/>
      <c r="F99" s="775"/>
      <c r="G99" s="775"/>
      <c r="H99" s="775"/>
      <c r="I99" s="775"/>
      <c r="J99" s="775"/>
      <c r="K99" s="775"/>
      <c r="L99" s="775"/>
      <c r="M99" s="775"/>
      <c r="N99" s="775"/>
      <c r="O99" s="775"/>
      <c r="P99" s="775"/>
      <c r="Q99" s="775"/>
      <c r="R99" s="775"/>
      <c r="S99" s="775"/>
      <c r="T99" s="775"/>
      <c r="U99" s="775"/>
      <c r="V99" s="775"/>
      <c r="W99" s="775"/>
      <c r="X99" s="775"/>
      <c r="Y99" s="775"/>
      <c r="Z99" s="775"/>
      <c r="AA99" s="775"/>
      <c r="AB99" s="775"/>
      <c r="AC99" s="775"/>
      <c r="AD99" s="775"/>
      <c r="AE99" s="775"/>
      <c r="AF99" s="775"/>
      <c r="AG99" s="775"/>
      <c r="AH99" s="775"/>
      <c r="AI99" s="775"/>
      <c r="AJ99" s="776"/>
      <c r="AK99" s="523" t="str">
        <f>IF($AI58="該当",IF(OR($F100="✓",$F101="✓"),"○","×"),"")</f>
        <v>○</v>
      </c>
      <c r="AL99" s="18"/>
      <c r="AY99" s="167"/>
    </row>
    <row r="100" spans="1:56" s="167" customFormat="1" ht="30.6" customHeight="1">
      <c r="A100" s="165"/>
      <c r="B100" s="777" t="s">
        <v>99</v>
      </c>
      <c r="C100" s="778"/>
      <c r="D100" s="778"/>
      <c r="E100" s="779" t="b">
        <v>0</v>
      </c>
      <c r="F100" s="605"/>
      <c r="G100" s="783" t="s">
        <v>2267</v>
      </c>
      <c r="H100" s="783"/>
      <c r="I100" s="783"/>
      <c r="J100" s="783"/>
      <c r="K100" s="783"/>
      <c r="L100" s="783"/>
      <c r="M100" s="783"/>
      <c r="N100" s="783"/>
      <c r="O100" s="783"/>
      <c r="P100" s="783"/>
      <c r="Q100" s="783"/>
      <c r="R100" s="783"/>
      <c r="S100" s="783"/>
      <c r="T100" s="783"/>
      <c r="U100" s="783"/>
      <c r="V100" s="783"/>
      <c r="W100" s="783"/>
      <c r="X100" s="783"/>
      <c r="Y100" s="783"/>
      <c r="Z100" s="783"/>
      <c r="AA100" s="783"/>
      <c r="AB100" s="783"/>
      <c r="AC100" s="783"/>
      <c r="AD100" s="783"/>
      <c r="AE100" s="783"/>
      <c r="AF100" s="783"/>
      <c r="AG100" s="783"/>
      <c r="AH100" s="783"/>
      <c r="AI100" s="783"/>
      <c r="AJ100" s="783"/>
      <c r="AK100" s="784"/>
      <c r="AL100" s="19"/>
      <c r="AM100" s="785" t="s">
        <v>98</v>
      </c>
      <c r="AN100" s="786"/>
      <c r="AO100" s="786"/>
      <c r="AP100" s="786"/>
      <c r="AQ100" s="786"/>
      <c r="AR100" s="786"/>
      <c r="AS100" s="786"/>
      <c r="AT100" s="786"/>
      <c r="AU100" s="786"/>
      <c r="AV100" s="786"/>
      <c r="AW100" s="786"/>
      <c r="AX100" s="787"/>
    </row>
    <row r="101" spans="1:56" s="167" customFormat="1" ht="22.9" customHeight="1" thickBot="1">
      <c r="A101" s="165"/>
      <c r="B101" s="780"/>
      <c r="C101" s="781"/>
      <c r="D101" s="781"/>
      <c r="E101" s="782" t="b">
        <v>0</v>
      </c>
      <c r="F101" s="606" t="s">
        <v>30</v>
      </c>
      <c r="G101" s="791" t="s">
        <v>100</v>
      </c>
      <c r="H101" s="791"/>
      <c r="I101" s="791"/>
      <c r="J101" s="791"/>
      <c r="K101" s="791"/>
      <c r="L101" s="791"/>
      <c r="M101" s="791"/>
      <c r="N101" s="791"/>
      <c r="O101" s="791"/>
      <c r="P101" s="791"/>
      <c r="Q101" s="791"/>
      <c r="R101" s="791"/>
      <c r="S101" s="791"/>
      <c r="T101" s="791"/>
      <c r="U101" s="791"/>
      <c r="V101" s="791"/>
      <c r="W101" s="791"/>
      <c r="X101" s="791"/>
      <c r="Y101" s="791"/>
      <c r="Z101" s="791"/>
      <c r="AA101" s="791"/>
      <c r="AB101" s="791"/>
      <c r="AC101" s="791"/>
      <c r="AD101" s="791"/>
      <c r="AE101" s="791"/>
      <c r="AF101" s="791"/>
      <c r="AG101" s="791"/>
      <c r="AH101" s="791"/>
      <c r="AI101" s="791"/>
      <c r="AJ101" s="791"/>
      <c r="AK101" s="792"/>
      <c r="AL101" s="18"/>
      <c r="AM101" s="788"/>
      <c r="AN101" s="789"/>
      <c r="AO101" s="789"/>
      <c r="AP101" s="789"/>
      <c r="AQ101" s="789"/>
      <c r="AR101" s="789"/>
      <c r="AS101" s="789"/>
      <c r="AT101" s="789"/>
      <c r="AU101" s="789"/>
      <c r="AV101" s="789"/>
      <c r="AW101" s="789"/>
      <c r="AX101" s="790"/>
      <c r="AY101" s="165"/>
      <c r="BA101" s="172"/>
    </row>
    <row r="102" spans="1:56" s="167" customFormat="1" ht="6"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899999999999999" customHeight="1">
      <c r="A103" s="57"/>
      <c r="B103" s="147" t="s">
        <v>2474</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793"/>
      <c r="AN103" s="793"/>
      <c r="AO103" s="793"/>
      <c r="AP103" s="793"/>
      <c r="AQ103" s="793"/>
      <c r="AR103" s="793"/>
      <c r="AS103" s="793"/>
      <c r="AT103" s="793"/>
      <c r="AU103" s="793"/>
      <c r="AV103" s="793"/>
      <c r="AW103" s="793"/>
      <c r="AX103" s="793"/>
      <c r="AY103" s="793"/>
      <c r="BA103" s="763" t="s">
        <v>66</v>
      </c>
      <c r="BB103" s="763"/>
      <c r="BC103" s="763"/>
      <c r="BD103" s="763"/>
    </row>
    <row r="104" spans="1:56" ht="27.6" customHeight="1" thickBot="1">
      <c r="A104" s="81"/>
      <c r="B104" s="104" t="s">
        <v>2268</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793"/>
      <c r="AN104" s="793"/>
      <c r="AO104" s="793"/>
      <c r="AP104" s="793"/>
      <c r="AQ104" s="793"/>
      <c r="AR104" s="793"/>
      <c r="AS104" s="793"/>
      <c r="AT104" s="793"/>
      <c r="AU104" s="793"/>
      <c r="AV104" s="793"/>
      <c r="AW104" s="793"/>
      <c r="AX104" s="793"/>
      <c r="AY104" s="793"/>
    </row>
    <row r="105" spans="1:56" ht="229.5" customHeight="1" thickBot="1">
      <c r="A105" s="81"/>
      <c r="B105" s="764" t="s">
        <v>2528</v>
      </c>
      <c r="C105" s="765"/>
      <c r="D105" s="765"/>
      <c r="E105" s="765"/>
      <c r="F105" s="765"/>
      <c r="G105" s="765"/>
      <c r="H105" s="765"/>
      <c r="I105" s="765"/>
      <c r="J105" s="765"/>
      <c r="K105" s="765"/>
      <c r="L105" s="765"/>
      <c r="M105" s="765"/>
      <c r="N105" s="765"/>
      <c r="O105" s="765"/>
      <c r="P105" s="765"/>
      <c r="Q105" s="765"/>
      <c r="R105" s="765"/>
      <c r="S105" s="765"/>
      <c r="T105" s="765"/>
      <c r="U105" s="765"/>
      <c r="V105" s="765"/>
      <c r="W105" s="765"/>
      <c r="X105" s="765"/>
      <c r="Y105" s="765"/>
      <c r="Z105" s="765"/>
      <c r="AA105" s="765"/>
      <c r="AB105" s="765"/>
      <c r="AC105" s="765"/>
      <c r="AD105" s="765"/>
      <c r="AE105" s="765"/>
      <c r="AF105" s="765"/>
      <c r="AG105" s="765"/>
      <c r="AH105" s="765"/>
      <c r="AI105" s="765"/>
      <c r="AJ105" s="765"/>
      <c r="AK105" s="528" t="str">
        <f>IF(H6="","",IF(AND(OR('別紙様式2-2（個票（４、５月））'!AK10="○",'別紙様式2-2（個票（４、５月））'!AK10=""),OR('別紙様式2-3（個票（６月以降））'!AK10="○",'別紙様式2-3（個票（６月以降））'!AK10="")),"○","×"))</f>
        <v>○</v>
      </c>
      <c r="AR105" s="85"/>
    </row>
    <row r="106" spans="1:56" s="13" customFormat="1" ht="7.15"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00000000000001" customHeight="1" thickBot="1">
      <c r="A107" s="19"/>
      <c r="B107" s="564" t="s">
        <v>2475</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4.95" customHeight="1" thickBot="1">
      <c r="A108" s="562"/>
      <c r="B108" s="520" t="s">
        <v>2476</v>
      </c>
      <c r="C108" s="713" t="s">
        <v>2477</v>
      </c>
      <c r="D108" s="714"/>
      <c r="E108" s="714"/>
      <c r="F108" s="714"/>
      <c r="G108" s="714"/>
      <c r="H108" s="714"/>
      <c r="I108" s="714"/>
      <c r="J108" s="714"/>
      <c r="K108" s="714"/>
      <c r="L108" s="714"/>
      <c r="M108" s="714"/>
      <c r="N108" s="714"/>
      <c r="O108" s="714"/>
      <c r="P108" s="714"/>
      <c r="Q108" s="714"/>
      <c r="R108" s="714"/>
      <c r="S108" s="714"/>
      <c r="T108" s="714"/>
      <c r="U108" s="714"/>
      <c r="V108" s="715"/>
      <c r="W108" s="773">
        <f>IFERROR('別紙様式2-3（個票（６月以降））'!BO10,"")</f>
        <v>743702</v>
      </c>
      <c r="X108" s="774"/>
      <c r="Y108" s="774"/>
      <c r="Z108" s="774"/>
      <c r="AA108" s="563" t="s">
        <v>54</v>
      </c>
      <c r="AB108" s="78"/>
      <c r="AC108"/>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4.95" customHeight="1" thickBot="1">
      <c r="A109" s="562"/>
      <c r="B109" s="520" t="s">
        <v>55</v>
      </c>
      <c r="C109" s="762" t="s">
        <v>2509</v>
      </c>
      <c r="D109" s="762"/>
      <c r="E109" s="762"/>
      <c r="F109" s="762"/>
      <c r="G109" s="762"/>
      <c r="H109" s="762"/>
      <c r="I109" s="762"/>
      <c r="J109" s="762"/>
      <c r="K109" s="762"/>
      <c r="L109" s="762"/>
      <c r="M109" s="762"/>
      <c r="N109" s="762"/>
      <c r="O109" s="762"/>
      <c r="P109" s="762"/>
      <c r="Q109" s="762"/>
      <c r="R109" s="762"/>
      <c r="S109" s="762"/>
      <c r="T109" s="762"/>
      <c r="U109" s="762"/>
      <c r="V109" s="925"/>
      <c r="W109" s="773">
        <f>IFERROR('別紙様式2-2（個票（４、５月））'!BJ10+'別紙様式2-3（個票（６月以降））'!BV10,"")</f>
        <v>11979009</v>
      </c>
      <c r="X109" s="774"/>
      <c r="Y109" s="774"/>
      <c r="Z109" s="926"/>
      <c r="AA109" s="563"/>
      <c r="AB109" s="78"/>
      <c r="AC109"/>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4.95" customHeight="1" thickBot="1">
      <c r="A110" s="562"/>
      <c r="B110" s="520" t="s">
        <v>2521</v>
      </c>
      <c r="C110" s="762" t="s">
        <v>2524</v>
      </c>
      <c r="D110" s="762"/>
      <c r="E110" s="762"/>
      <c r="F110" s="762"/>
      <c r="G110" s="762"/>
      <c r="H110" s="762"/>
      <c r="I110" s="762"/>
      <c r="J110" s="762"/>
      <c r="K110" s="762"/>
      <c r="L110" s="762"/>
      <c r="M110" s="762"/>
      <c r="N110" s="762"/>
      <c r="O110" s="762"/>
      <c r="P110" s="762"/>
      <c r="Q110" s="762"/>
      <c r="R110" s="762"/>
      <c r="S110" s="762"/>
      <c r="T110" s="762"/>
      <c r="U110" s="762"/>
      <c r="V110" s="925"/>
      <c r="W110" s="773">
        <f>IFERROR(W108+W109,"")</f>
        <v>12722711</v>
      </c>
      <c r="X110" s="774"/>
      <c r="Y110" s="774"/>
      <c r="Z110" s="926"/>
      <c r="AA110" s="563"/>
      <c r="AB110" s="78" t="s">
        <v>56</v>
      </c>
      <c r="AC110" s="871" t="str">
        <f>IF(H6="", "", IFERROR(IF(W111&gt;=W110,"○","×"),""))</f>
        <v>○</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4.95" customHeight="1" thickBot="1">
      <c r="A111" s="562"/>
      <c r="B111" s="520" t="s">
        <v>2523</v>
      </c>
      <c r="C111" s="710" t="s">
        <v>2522</v>
      </c>
      <c r="D111" s="711"/>
      <c r="E111" s="711"/>
      <c r="F111" s="711"/>
      <c r="G111" s="711"/>
      <c r="H111" s="711"/>
      <c r="I111" s="711"/>
      <c r="J111" s="711"/>
      <c r="K111" s="711"/>
      <c r="L111" s="711"/>
      <c r="M111" s="711"/>
      <c r="N111" s="711"/>
      <c r="O111" s="711"/>
      <c r="P111" s="711"/>
      <c r="Q111" s="711"/>
      <c r="R111" s="711"/>
      <c r="S111" s="711"/>
      <c r="T111" s="711"/>
      <c r="U111" s="711"/>
      <c r="V111" s="712"/>
      <c r="W111" s="794">
        <f>T32</f>
        <v>100000000</v>
      </c>
      <c r="X111" s="794"/>
      <c r="Y111" s="794"/>
      <c r="Z111" s="794"/>
      <c r="AA111" s="563" t="s">
        <v>54</v>
      </c>
      <c r="AB111" s="78" t="s">
        <v>56</v>
      </c>
      <c r="AC111" s="883"/>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15"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149999999999999" customHeight="1">
      <c r="A113" s="18"/>
      <c r="B113" s="21" t="s">
        <v>101</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58</v>
      </c>
      <c r="C114" s="16" t="s">
        <v>102</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 customHeight="1" thickBot="1">
      <c r="A115" s="19"/>
      <c r="B115" s="522" t="s">
        <v>103</v>
      </c>
      <c r="C115" s="536"/>
      <c r="D115" s="536"/>
      <c r="E115" s="536"/>
      <c r="F115" s="536"/>
      <c r="G115" s="536"/>
      <c r="H115" s="536"/>
      <c r="I115" s="536"/>
      <c r="J115" s="536"/>
      <c r="K115" s="536"/>
      <c r="L115" s="536"/>
      <c r="M115" s="536"/>
      <c r="N115" s="536"/>
      <c r="O115" s="536"/>
      <c r="P115" s="536"/>
      <c r="Q115" s="536"/>
      <c r="R115" s="536"/>
      <c r="S115" s="536"/>
      <c r="T115" s="536"/>
      <c r="U115" s="536"/>
      <c r="V115" s="536"/>
      <c r="W115" s="536"/>
      <c r="X115" s="536"/>
      <c r="Y115" s="536"/>
      <c r="Z115" s="536"/>
      <c r="AA115" s="536"/>
      <c r="AB115" s="536"/>
      <c r="AC115" s="536"/>
      <c r="AD115" s="537"/>
      <c r="AE115" s="766" t="s">
        <v>104</v>
      </c>
      <c r="AF115" s="767"/>
      <c r="AG115" s="767"/>
      <c r="AH115" s="767"/>
      <c r="AI115" s="767"/>
      <c r="AJ115" s="768"/>
      <c r="AK115" s="528" t="str">
        <f>IF(H6="", "", IF(AND(BA116=TRUE,OR(BA117=TRUE),BA118=TRUE,BA119=TRUE, BA121=TRUE, BA120=TRUE,BA122=TRUE),"○","×"))</f>
        <v>○</v>
      </c>
      <c r="AL115" s="18"/>
      <c r="AM115" s="769" t="s">
        <v>105</v>
      </c>
      <c r="AN115" s="770"/>
      <c r="AO115" s="770"/>
      <c r="AP115" s="770"/>
      <c r="AQ115" s="770"/>
      <c r="AR115" s="770"/>
      <c r="AS115" s="770"/>
      <c r="AT115" s="770"/>
      <c r="AU115" s="770"/>
      <c r="AV115" s="770"/>
      <c r="AW115" s="770"/>
      <c r="AX115" s="770"/>
      <c r="AY115" s="771"/>
      <c r="BA115" s="174"/>
    </row>
    <row r="116" spans="1:54" s="13" customFormat="1" ht="48.75" customHeight="1">
      <c r="A116" s="151"/>
      <c r="B116" s="175"/>
      <c r="C116" s="761" t="s">
        <v>2214</v>
      </c>
      <c r="D116" s="762"/>
      <c r="E116" s="762"/>
      <c r="F116" s="762"/>
      <c r="G116" s="762"/>
      <c r="H116" s="762"/>
      <c r="I116" s="762"/>
      <c r="J116" s="762"/>
      <c r="K116" s="762"/>
      <c r="L116" s="762"/>
      <c r="M116" s="762"/>
      <c r="N116" s="762"/>
      <c r="O116" s="762"/>
      <c r="P116" s="762"/>
      <c r="Q116" s="762"/>
      <c r="R116" s="762"/>
      <c r="S116" s="762"/>
      <c r="T116" s="762"/>
      <c r="U116" s="762"/>
      <c r="V116" s="762"/>
      <c r="W116" s="762"/>
      <c r="X116" s="762"/>
      <c r="Y116" s="762"/>
      <c r="Z116" s="762"/>
      <c r="AA116" s="762"/>
      <c r="AB116" s="762"/>
      <c r="AC116" s="762"/>
      <c r="AD116" s="710"/>
      <c r="AE116" s="752" t="s">
        <v>106</v>
      </c>
      <c r="AF116" s="753"/>
      <c r="AG116" s="753"/>
      <c r="AH116" s="753"/>
      <c r="AI116" s="753"/>
      <c r="AJ116" s="753"/>
      <c r="AK116" s="772"/>
      <c r="AL116" s="18"/>
      <c r="AM116" s="19"/>
      <c r="AN116" s="533"/>
      <c r="AO116" s="533"/>
      <c r="AP116" s="533"/>
      <c r="AQ116" s="533"/>
      <c r="AR116" s="533"/>
      <c r="AS116" s="533"/>
      <c r="AT116" s="533"/>
      <c r="AU116" s="533"/>
      <c r="AV116" s="533"/>
      <c r="AW116" s="19"/>
      <c r="AX116" s="19"/>
      <c r="AY116" s="19"/>
      <c r="AZ116" s="153"/>
      <c r="BA116" s="176" t="b">
        <v>1</v>
      </c>
      <c r="BB116" s="177"/>
    </row>
    <row r="117" spans="1:54" s="13" customFormat="1" ht="37.15" customHeight="1">
      <c r="A117" s="19"/>
      <c r="B117" s="178"/>
      <c r="C117" s="761" t="s">
        <v>2269</v>
      </c>
      <c r="D117" s="762"/>
      <c r="E117" s="762"/>
      <c r="F117" s="762"/>
      <c r="G117" s="762"/>
      <c r="H117" s="762"/>
      <c r="I117" s="762"/>
      <c r="J117" s="762"/>
      <c r="K117" s="762"/>
      <c r="L117" s="762"/>
      <c r="M117" s="762"/>
      <c r="N117" s="762"/>
      <c r="O117" s="762"/>
      <c r="P117" s="762"/>
      <c r="Q117" s="762"/>
      <c r="R117" s="762"/>
      <c r="S117" s="762"/>
      <c r="T117" s="762"/>
      <c r="U117" s="762"/>
      <c r="V117" s="762"/>
      <c r="W117" s="762"/>
      <c r="X117" s="762"/>
      <c r="Y117" s="762"/>
      <c r="Z117" s="762"/>
      <c r="AA117" s="762"/>
      <c r="AB117" s="762"/>
      <c r="AC117" s="762"/>
      <c r="AD117" s="710"/>
      <c r="AE117" s="752" t="s">
        <v>106</v>
      </c>
      <c r="AF117" s="753"/>
      <c r="AG117" s="753"/>
      <c r="AH117" s="753"/>
      <c r="AI117" s="753"/>
      <c r="AJ117" s="753"/>
      <c r="AK117" s="753"/>
      <c r="AL117" s="18"/>
      <c r="AM117" s="19"/>
      <c r="AN117" s="533"/>
      <c r="AO117" s="533"/>
      <c r="AP117" s="533"/>
      <c r="AQ117" s="533"/>
      <c r="AR117" s="533"/>
      <c r="AS117" s="533"/>
      <c r="AT117" s="533"/>
      <c r="AU117" s="533"/>
      <c r="AV117" s="533"/>
      <c r="AW117" s="19"/>
      <c r="AX117" s="19"/>
      <c r="AY117" s="19"/>
      <c r="BA117" s="152" t="b">
        <v>1</v>
      </c>
    </row>
    <row r="118" spans="1:54" s="13" customFormat="1" ht="36.6" customHeight="1">
      <c r="A118" s="19"/>
      <c r="B118" s="178"/>
      <c r="C118" s="749" t="s">
        <v>2196</v>
      </c>
      <c r="D118" s="750"/>
      <c r="E118" s="750"/>
      <c r="F118" s="750"/>
      <c r="G118" s="750"/>
      <c r="H118" s="750"/>
      <c r="I118" s="750"/>
      <c r="J118" s="750"/>
      <c r="K118" s="750"/>
      <c r="L118" s="750"/>
      <c r="M118" s="750"/>
      <c r="N118" s="750"/>
      <c r="O118" s="750"/>
      <c r="P118" s="750"/>
      <c r="Q118" s="750"/>
      <c r="R118" s="750"/>
      <c r="S118" s="750"/>
      <c r="T118" s="750"/>
      <c r="U118" s="750"/>
      <c r="V118" s="750"/>
      <c r="W118" s="750"/>
      <c r="X118" s="750"/>
      <c r="Y118" s="750"/>
      <c r="Z118" s="750"/>
      <c r="AA118" s="750"/>
      <c r="AB118" s="750"/>
      <c r="AC118" s="750"/>
      <c r="AD118" s="751"/>
      <c r="AE118" s="752" t="s">
        <v>107</v>
      </c>
      <c r="AF118" s="753"/>
      <c r="AG118" s="753"/>
      <c r="AH118" s="753"/>
      <c r="AI118" s="753"/>
      <c r="AJ118" s="753"/>
      <c r="AK118" s="753"/>
      <c r="AL118" s="18"/>
      <c r="AM118" s="19"/>
      <c r="AN118" s="19"/>
      <c r="AO118" s="19"/>
      <c r="AP118" s="533"/>
      <c r="AQ118" s="19"/>
      <c r="AR118" s="19"/>
      <c r="AS118" s="19"/>
      <c r="AT118" s="19"/>
      <c r="AU118" s="19"/>
      <c r="AV118" s="19"/>
      <c r="AW118" s="19"/>
      <c r="AX118" s="19"/>
      <c r="AY118" s="19"/>
      <c r="BA118" s="152" t="b">
        <v>1</v>
      </c>
    </row>
    <row r="119" spans="1:54" s="13" customFormat="1" ht="28.9" customHeight="1">
      <c r="A119" s="19"/>
      <c r="B119" s="178"/>
      <c r="C119" s="749" t="s">
        <v>108</v>
      </c>
      <c r="D119" s="750"/>
      <c r="E119" s="750"/>
      <c r="F119" s="750"/>
      <c r="G119" s="750"/>
      <c r="H119" s="750"/>
      <c r="I119" s="750"/>
      <c r="J119" s="750"/>
      <c r="K119" s="750"/>
      <c r="L119" s="750"/>
      <c r="M119" s="750"/>
      <c r="N119" s="750"/>
      <c r="O119" s="750"/>
      <c r="P119" s="750"/>
      <c r="Q119" s="750"/>
      <c r="R119" s="750"/>
      <c r="S119" s="750"/>
      <c r="T119" s="750"/>
      <c r="U119" s="750"/>
      <c r="V119" s="750"/>
      <c r="W119" s="750"/>
      <c r="X119" s="750"/>
      <c r="Y119" s="750"/>
      <c r="Z119" s="750"/>
      <c r="AA119" s="750"/>
      <c r="AB119" s="750"/>
      <c r="AC119" s="750"/>
      <c r="AD119" s="751"/>
      <c r="AE119" s="759" t="s">
        <v>109</v>
      </c>
      <c r="AF119" s="760"/>
      <c r="AG119" s="760"/>
      <c r="AH119" s="760"/>
      <c r="AI119" s="760"/>
      <c r="AJ119" s="760"/>
      <c r="AK119" s="760"/>
      <c r="AL119" s="18"/>
      <c r="AM119" s="19"/>
      <c r="AN119" s="179"/>
      <c r="AO119" s="179"/>
      <c r="AP119" s="179"/>
      <c r="AQ119" s="19"/>
      <c r="AR119" s="19"/>
      <c r="AS119" s="19"/>
      <c r="AT119" s="19"/>
      <c r="AU119" s="19"/>
      <c r="AV119" s="19"/>
      <c r="AW119" s="19"/>
      <c r="AX119" s="19"/>
      <c r="AY119" s="19"/>
      <c r="BA119" s="152" t="b">
        <v>1</v>
      </c>
    </row>
    <row r="120" spans="1:54" s="13" customFormat="1" ht="22.15" customHeight="1">
      <c r="A120" s="19"/>
      <c r="B120" s="178"/>
      <c r="C120" s="749" t="s">
        <v>110</v>
      </c>
      <c r="D120" s="750"/>
      <c r="E120" s="750"/>
      <c r="F120" s="750"/>
      <c r="G120" s="750"/>
      <c r="H120" s="750"/>
      <c r="I120" s="750"/>
      <c r="J120" s="750"/>
      <c r="K120" s="750"/>
      <c r="L120" s="750"/>
      <c r="M120" s="750"/>
      <c r="N120" s="750"/>
      <c r="O120" s="750"/>
      <c r="P120" s="750"/>
      <c r="Q120" s="750"/>
      <c r="R120" s="750"/>
      <c r="S120" s="750"/>
      <c r="T120" s="750"/>
      <c r="U120" s="750"/>
      <c r="V120" s="750"/>
      <c r="W120" s="750"/>
      <c r="X120" s="750"/>
      <c r="Y120" s="750"/>
      <c r="Z120" s="750"/>
      <c r="AA120" s="750"/>
      <c r="AB120" s="750"/>
      <c r="AC120" s="750"/>
      <c r="AD120" s="751"/>
      <c r="AE120" s="752" t="s">
        <v>111</v>
      </c>
      <c r="AF120" s="753"/>
      <c r="AG120" s="753"/>
      <c r="AH120" s="753"/>
      <c r="AI120" s="753"/>
      <c r="AJ120" s="753"/>
      <c r="AK120" s="753"/>
      <c r="AL120" s="18"/>
      <c r="AM120" s="19"/>
      <c r="AN120" s="179"/>
      <c r="AO120" s="179"/>
      <c r="AP120" s="179"/>
      <c r="AQ120" s="19"/>
      <c r="AR120" s="19"/>
      <c r="AS120" s="19"/>
      <c r="AT120" s="19"/>
      <c r="AU120" s="19"/>
      <c r="AV120" s="19"/>
      <c r="AW120" s="19"/>
      <c r="AX120" s="19"/>
      <c r="AY120" s="19"/>
      <c r="BA120" s="152" t="b">
        <v>1</v>
      </c>
    </row>
    <row r="121" spans="1:54" s="13" customFormat="1" ht="22.15" customHeight="1">
      <c r="A121" s="19"/>
      <c r="B121" s="180"/>
      <c r="C121" s="754" t="s">
        <v>112</v>
      </c>
      <c r="D121" s="755"/>
      <c r="E121" s="755"/>
      <c r="F121" s="755"/>
      <c r="G121" s="755"/>
      <c r="H121" s="755"/>
      <c r="I121" s="755"/>
      <c r="J121" s="755"/>
      <c r="K121" s="755"/>
      <c r="L121" s="755"/>
      <c r="M121" s="755"/>
      <c r="N121" s="755"/>
      <c r="O121" s="755"/>
      <c r="P121" s="755"/>
      <c r="Q121" s="755"/>
      <c r="R121" s="755"/>
      <c r="S121" s="755"/>
      <c r="T121" s="755"/>
      <c r="U121" s="755"/>
      <c r="V121" s="755"/>
      <c r="W121" s="755"/>
      <c r="X121" s="755"/>
      <c r="Y121" s="755"/>
      <c r="Z121" s="755"/>
      <c r="AA121" s="755"/>
      <c r="AB121" s="755"/>
      <c r="AC121" s="755"/>
      <c r="AD121" s="756"/>
      <c r="AE121" s="757" t="s">
        <v>113</v>
      </c>
      <c r="AF121" s="758"/>
      <c r="AG121" s="758"/>
      <c r="AH121" s="758"/>
      <c r="AI121" s="758"/>
      <c r="AJ121" s="758"/>
      <c r="AK121" s="758"/>
      <c r="AL121" s="18"/>
      <c r="AM121" s="19"/>
      <c r="AN121" s="19"/>
      <c r="AO121" s="19"/>
      <c r="AP121" s="19"/>
      <c r="AQ121" s="19"/>
      <c r="AR121" s="19"/>
      <c r="AS121" s="19"/>
      <c r="AT121" s="19"/>
      <c r="AU121" s="19"/>
      <c r="AV121" s="19"/>
      <c r="AW121" s="19"/>
      <c r="AX121" s="19"/>
      <c r="AY121" s="19"/>
      <c r="BA121" s="152" t="b">
        <v>1</v>
      </c>
    </row>
    <row r="122" spans="1:54" s="13" customFormat="1" ht="25.5" customHeight="1" thickBot="1">
      <c r="A122" s="19"/>
      <c r="B122" s="181"/>
      <c r="C122" s="749" t="s">
        <v>114</v>
      </c>
      <c r="D122" s="750"/>
      <c r="E122" s="750"/>
      <c r="F122" s="750"/>
      <c r="G122" s="750"/>
      <c r="H122" s="750"/>
      <c r="I122" s="750"/>
      <c r="J122" s="750"/>
      <c r="K122" s="750"/>
      <c r="L122" s="750"/>
      <c r="M122" s="750"/>
      <c r="N122" s="750"/>
      <c r="O122" s="750"/>
      <c r="P122" s="750"/>
      <c r="Q122" s="750"/>
      <c r="R122" s="750"/>
      <c r="S122" s="750"/>
      <c r="T122" s="750"/>
      <c r="U122" s="750"/>
      <c r="V122" s="750"/>
      <c r="W122" s="750"/>
      <c r="X122" s="750"/>
      <c r="Y122" s="750"/>
      <c r="Z122" s="750"/>
      <c r="AA122" s="750"/>
      <c r="AB122" s="750"/>
      <c r="AC122" s="750"/>
      <c r="AD122" s="751"/>
      <c r="AE122" s="759" t="s">
        <v>109</v>
      </c>
      <c r="AF122" s="760"/>
      <c r="AG122" s="760"/>
      <c r="AH122" s="760"/>
      <c r="AI122" s="760"/>
      <c r="AJ122" s="760"/>
      <c r="AK122" s="760"/>
      <c r="AL122" s="18"/>
      <c r="AM122" s="19"/>
      <c r="AN122" s="19"/>
      <c r="AO122" s="19"/>
      <c r="AP122" s="19"/>
      <c r="AQ122" s="19"/>
      <c r="AR122" s="19"/>
      <c r="AS122" s="19"/>
      <c r="AT122" s="19"/>
      <c r="AU122" s="19"/>
      <c r="AV122" s="19"/>
      <c r="AW122" s="19"/>
      <c r="AX122" s="19"/>
      <c r="AY122" s="19"/>
      <c r="BA122" s="152" t="b">
        <v>1</v>
      </c>
    </row>
    <row r="123" spans="1:54" s="13" customFormat="1" ht="4.9000000000000004"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 customHeight="1">
      <c r="A124" s="19"/>
      <c r="B124" s="182" t="s">
        <v>115</v>
      </c>
      <c r="C124" s="183" t="s">
        <v>116</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 customHeight="1">
      <c r="A125" s="19"/>
      <c r="B125" s="182" t="s">
        <v>115</v>
      </c>
      <c r="C125" s="743" t="s">
        <v>2466</v>
      </c>
      <c r="D125" s="743"/>
      <c r="E125" s="743"/>
      <c r="F125" s="743"/>
      <c r="G125" s="743"/>
      <c r="H125" s="743"/>
      <c r="I125" s="743"/>
      <c r="J125" s="743"/>
      <c r="K125" s="743"/>
      <c r="L125" s="743"/>
      <c r="M125" s="743"/>
      <c r="N125" s="743"/>
      <c r="O125" s="743"/>
      <c r="P125" s="743"/>
      <c r="Q125" s="743"/>
      <c r="R125" s="743"/>
      <c r="S125" s="743"/>
      <c r="T125" s="743"/>
      <c r="U125" s="743"/>
      <c r="V125" s="743"/>
      <c r="W125" s="743"/>
      <c r="X125" s="743"/>
      <c r="Y125" s="743"/>
      <c r="Z125" s="743"/>
      <c r="AA125" s="743"/>
      <c r="AB125" s="743"/>
      <c r="AC125" s="743"/>
      <c r="AD125" s="743"/>
      <c r="AE125" s="743"/>
      <c r="AF125" s="743"/>
      <c r="AG125" s="743"/>
      <c r="AH125" s="743"/>
      <c r="AI125" s="743"/>
      <c r="AJ125" s="743"/>
      <c r="AK125" s="743"/>
      <c r="AL125" s="18"/>
      <c r="AM125" s="19"/>
      <c r="AN125" s="19"/>
      <c r="AO125" s="19"/>
      <c r="AP125" s="19"/>
      <c r="AQ125" s="19"/>
      <c r="AR125" s="19"/>
      <c r="AS125" s="19"/>
      <c r="AT125" s="19"/>
      <c r="AU125" s="19"/>
      <c r="AV125" s="19"/>
      <c r="AW125" s="19"/>
      <c r="AX125" s="19"/>
      <c r="AY125" s="19"/>
    </row>
    <row r="126" spans="1:54" s="13" customFormat="1" ht="5.45" customHeight="1" thickBot="1">
      <c r="A126" s="19"/>
      <c r="B126" s="182"/>
      <c r="C126" s="530"/>
      <c r="D126" s="530"/>
      <c r="E126" s="530"/>
      <c r="F126" s="530"/>
      <c r="G126" s="530"/>
      <c r="H126" s="530"/>
      <c r="I126" s="530"/>
      <c r="J126" s="530"/>
      <c r="K126" s="530"/>
      <c r="L126" s="530"/>
      <c r="M126" s="530"/>
      <c r="N126" s="530"/>
      <c r="O126" s="530"/>
      <c r="P126" s="530"/>
      <c r="Q126" s="530"/>
      <c r="R126" s="530"/>
      <c r="S126" s="530"/>
      <c r="T126" s="530"/>
      <c r="U126" s="530"/>
      <c r="V126" s="530"/>
      <c r="W126" s="530"/>
      <c r="X126" s="530"/>
      <c r="Y126" s="530"/>
      <c r="Z126" s="530"/>
      <c r="AA126" s="530"/>
      <c r="AB126" s="530"/>
      <c r="AC126" s="530"/>
      <c r="AD126" s="530"/>
      <c r="AE126" s="530"/>
      <c r="AF126" s="530"/>
      <c r="AG126" s="530"/>
      <c r="AH126" s="530"/>
      <c r="AI126" s="530"/>
      <c r="AJ126" s="530"/>
      <c r="AK126" s="530"/>
      <c r="AL126" s="18"/>
      <c r="AM126" s="19"/>
      <c r="AN126" s="19"/>
      <c r="AO126" s="19"/>
      <c r="AP126" s="19"/>
      <c r="AQ126" s="19"/>
      <c r="AR126" s="19"/>
      <c r="AS126" s="19"/>
      <c r="AT126" s="19"/>
      <c r="AU126" s="19"/>
      <c r="AV126" s="19"/>
      <c r="AW126" s="19"/>
      <c r="AX126" s="19"/>
      <c r="AY126" s="19"/>
    </row>
    <row r="127" spans="1:54" s="13" customFormat="1" ht="15.6"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23" t="str">
        <f>IF(H6="", "", IF(COUNTA(E131,H131,K131)=3,"○","×"))</f>
        <v>○</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 customHeight="1">
      <c r="A129" s="19"/>
      <c r="B129" s="99"/>
      <c r="C129" s="744" t="s">
        <v>117</v>
      </c>
      <c r="D129" s="744"/>
      <c r="E129" s="744"/>
      <c r="F129" s="744"/>
      <c r="G129" s="744"/>
      <c r="H129" s="744"/>
      <c r="I129" s="744"/>
      <c r="J129" s="744"/>
      <c r="K129" s="744"/>
      <c r="L129" s="744"/>
      <c r="M129" s="744"/>
      <c r="N129" s="744"/>
      <c r="O129" s="744"/>
      <c r="P129" s="744"/>
      <c r="Q129" s="744"/>
      <c r="R129" s="744"/>
      <c r="S129" s="744"/>
      <c r="T129" s="744"/>
      <c r="U129" s="744"/>
      <c r="V129" s="744"/>
      <c r="W129" s="744"/>
      <c r="X129" s="744"/>
      <c r="Y129" s="744"/>
      <c r="Z129" s="744"/>
      <c r="AA129" s="744"/>
      <c r="AB129" s="744"/>
      <c r="AC129" s="744"/>
      <c r="AD129" s="744"/>
      <c r="AE129" s="744"/>
      <c r="AF129" s="744"/>
      <c r="AG129" s="744"/>
      <c r="AH129" s="744"/>
      <c r="AI129" s="744"/>
      <c r="AJ129" s="744"/>
      <c r="AK129" s="100"/>
      <c r="AL129" s="15"/>
      <c r="AM129" s="18"/>
      <c r="AN129" s="19"/>
      <c r="AO129" s="19"/>
      <c r="AP129" s="19"/>
      <c r="AQ129" s="19"/>
      <c r="AR129" s="19"/>
      <c r="AS129" s="19"/>
      <c r="AT129" s="19"/>
      <c r="AU129" s="19"/>
      <c r="AV129" s="19"/>
      <c r="AW129" s="19"/>
      <c r="AX129" s="19"/>
      <c r="AY129" s="19"/>
    </row>
    <row r="130" spans="1:53" s="13" customFormat="1" ht="3.6"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5" customHeight="1">
      <c r="A131" s="19"/>
      <c r="B131" s="101"/>
      <c r="C131" s="187" t="s">
        <v>118</v>
      </c>
      <c r="D131" s="187"/>
      <c r="E131" s="745">
        <v>8</v>
      </c>
      <c r="F131" s="746"/>
      <c r="G131" s="187" t="s">
        <v>119</v>
      </c>
      <c r="H131" s="745">
        <v>4</v>
      </c>
      <c r="I131" s="746"/>
      <c r="J131" s="187" t="s">
        <v>120</v>
      </c>
      <c r="K131" s="745">
        <v>1</v>
      </c>
      <c r="L131" s="746"/>
      <c r="M131" s="187" t="s">
        <v>121</v>
      </c>
      <c r="N131" s="15"/>
      <c r="O131" s="747" t="s">
        <v>46</v>
      </c>
      <c r="P131" s="747"/>
      <c r="Q131" s="747"/>
      <c r="R131" s="748" t="str">
        <f>IF(H6="","",H6)</f>
        <v>○○サービス事業所</v>
      </c>
      <c r="S131" s="748"/>
      <c r="T131" s="748"/>
      <c r="U131" s="748"/>
      <c r="V131" s="748"/>
      <c r="W131" s="748"/>
      <c r="X131" s="748"/>
      <c r="Y131" s="748"/>
      <c r="Z131" s="748"/>
      <c r="AA131" s="748"/>
      <c r="AB131" s="748"/>
      <c r="AC131" s="748"/>
      <c r="AD131" s="748"/>
      <c r="AE131" s="748"/>
      <c r="AF131" s="748"/>
      <c r="AG131" s="748"/>
      <c r="AH131" s="748"/>
      <c r="AI131" s="748"/>
      <c r="AJ131" s="188"/>
      <c r="AK131" s="189"/>
      <c r="AL131" s="190"/>
      <c r="AM131" s="18"/>
      <c r="AN131" s="18"/>
      <c r="AO131" s="18"/>
      <c r="AP131" s="18"/>
      <c r="AQ131" s="18"/>
      <c r="AR131" s="18"/>
      <c r="AS131" s="18"/>
      <c r="AT131" s="18"/>
      <c r="AU131" s="18"/>
      <c r="AV131" s="18"/>
      <c r="AW131" s="136"/>
      <c r="AX131" s="18"/>
      <c r="AY131" s="18"/>
      <c r="AZ131"/>
    </row>
    <row r="132" spans="1:53" s="13" customFormat="1" ht="14.45" customHeight="1">
      <c r="A132" s="18"/>
      <c r="B132" s="101"/>
      <c r="C132" s="191"/>
      <c r="D132" s="187"/>
      <c r="E132" s="187"/>
      <c r="F132" s="187"/>
      <c r="G132" s="187"/>
      <c r="H132" s="187"/>
      <c r="I132" s="187"/>
      <c r="J132" s="187"/>
      <c r="K132" s="187"/>
      <c r="L132" s="187"/>
      <c r="M132" s="187"/>
      <c r="N132" s="739" t="s">
        <v>122</v>
      </c>
      <c r="O132" s="739"/>
      <c r="P132" s="739"/>
      <c r="Q132" s="739"/>
      <c r="R132" s="740" t="s">
        <v>19</v>
      </c>
      <c r="S132" s="740"/>
      <c r="T132" s="741" t="str">
        <f>IF(基本情報入力シート!L20="", "", 基本情報入力シート!L20)</f>
        <v>代表取締役</v>
      </c>
      <c r="U132" s="741"/>
      <c r="V132" s="741"/>
      <c r="W132" s="741"/>
      <c r="X132" s="741"/>
      <c r="Y132" s="742" t="s">
        <v>21</v>
      </c>
      <c r="Z132" s="742"/>
      <c r="AA132" s="741" t="str">
        <f>IF(基本情報入力シート!L21="", "", 基本情報入力シート!L21)</f>
        <v>厚労　太郎</v>
      </c>
      <c r="AB132" s="741"/>
      <c r="AC132" s="741"/>
      <c r="AD132" s="741"/>
      <c r="AE132" s="741"/>
      <c r="AF132" s="741"/>
      <c r="AG132" s="741"/>
      <c r="AH132" s="741"/>
      <c r="AI132" s="741"/>
      <c r="AJ132" s="191"/>
      <c r="AK132" s="192"/>
      <c r="AL132" s="190"/>
      <c r="AM132" s="190"/>
      <c r="AN132" s="18"/>
      <c r="AO132" s="18"/>
      <c r="AP132" s="18"/>
      <c r="AQ132" s="18"/>
      <c r="AR132" s="18"/>
      <c r="AS132" s="18"/>
      <c r="AT132" s="18"/>
      <c r="AU132" s="18"/>
      <c r="AV132" s="18"/>
      <c r="AW132" s="136"/>
      <c r="AX132" s="18"/>
      <c r="AY132" s="18"/>
      <c r="AZ132"/>
      <c r="BA132"/>
    </row>
    <row r="133" spans="1:53" ht="5.45"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 customHeight="1">
      <c r="A135" s="19"/>
      <c r="B135" s="22" t="s">
        <v>123</v>
      </c>
      <c r="C135" s="20"/>
      <c r="D135" s="19"/>
      <c r="E135" s="19"/>
      <c r="F135" s="21" t="s">
        <v>124</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5" customHeight="1">
      <c r="A136" s="18"/>
      <c r="B136" s="135" t="s">
        <v>58</v>
      </c>
      <c r="C136" s="132" t="s">
        <v>125</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115</v>
      </c>
      <c r="C137" s="132" t="s">
        <v>126</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 customHeight="1">
      <c r="A139" s="18"/>
      <c r="B139" s="701" t="s">
        <v>127</v>
      </c>
      <c r="C139" s="702"/>
      <c r="D139" s="702"/>
      <c r="E139" s="702"/>
      <c r="F139" s="702"/>
      <c r="G139" s="702"/>
      <c r="H139" s="702"/>
      <c r="I139" s="702"/>
      <c r="J139" s="702"/>
      <c r="K139" s="702"/>
      <c r="L139" s="702"/>
      <c r="M139" s="702"/>
      <c r="N139" s="702"/>
      <c r="O139" s="702"/>
      <c r="P139" s="702"/>
      <c r="Q139" s="702"/>
      <c r="R139" s="702"/>
      <c r="S139" s="702"/>
      <c r="T139" s="702"/>
      <c r="U139" s="702"/>
      <c r="V139" s="702"/>
      <c r="W139" s="702"/>
      <c r="X139" s="702"/>
      <c r="Y139" s="702"/>
      <c r="Z139" s="702"/>
      <c r="AA139" s="702"/>
      <c r="AB139" s="702"/>
      <c r="AC139" s="702"/>
      <c r="AD139" s="702"/>
      <c r="AE139" s="702"/>
      <c r="AF139" s="702"/>
      <c r="AG139" s="702"/>
      <c r="AH139" s="702"/>
      <c r="AI139" s="702"/>
      <c r="AJ139" s="702"/>
      <c r="AK139" s="703"/>
      <c r="AL139" s="18"/>
    </row>
    <row r="140" spans="1:53">
      <c r="A140" s="18"/>
      <c r="B140" s="733" t="s">
        <v>2195</v>
      </c>
      <c r="C140" s="734"/>
      <c r="D140" s="734"/>
      <c r="E140" s="734"/>
      <c r="F140" s="734"/>
      <c r="G140" s="734"/>
      <c r="H140" s="734"/>
      <c r="I140" s="734"/>
      <c r="J140" s="734"/>
      <c r="K140" s="734"/>
      <c r="L140" s="734"/>
      <c r="M140" s="734"/>
      <c r="N140" s="734"/>
      <c r="O140" s="734"/>
      <c r="P140" s="734"/>
      <c r="Q140" s="734"/>
      <c r="R140" s="734"/>
      <c r="S140" s="734"/>
      <c r="T140" s="734"/>
      <c r="U140" s="734"/>
      <c r="V140" s="734"/>
      <c r="W140" s="734"/>
      <c r="X140" s="734"/>
      <c r="Y140" s="734"/>
      <c r="Z140" s="734"/>
      <c r="AA140" s="734"/>
      <c r="AB140" s="734"/>
      <c r="AC140" s="734"/>
      <c r="AD140" s="734"/>
      <c r="AE140" s="734"/>
      <c r="AF140" s="734"/>
      <c r="AG140" s="734"/>
      <c r="AH140" s="734"/>
      <c r="AI140" s="734"/>
      <c r="AJ140" s="735"/>
      <c r="AK140" s="204" t="str">
        <f>Y18</f>
        <v>○</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5"/>
      <c r="B142" s="701" t="s">
        <v>2270</v>
      </c>
      <c r="C142" s="702"/>
      <c r="D142" s="702"/>
      <c r="E142" s="702"/>
      <c r="F142" s="702"/>
      <c r="G142" s="702"/>
      <c r="H142" s="702"/>
      <c r="I142" s="702"/>
      <c r="J142" s="702"/>
      <c r="K142" s="702"/>
      <c r="L142" s="702"/>
      <c r="M142" s="702"/>
      <c r="N142" s="702"/>
      <c r="O142" s="702"/>
      <c r="P142" s="702"/>
      <c r="Q142" s="702"/>
      <c r="R142" s="702"/>
      <c r="S142" s="702"/>
      <c r="T142" s="702"/>
      <c r="U142" s="702"/>
      <c r="V142" s="702"/>
      <c r="W142" s="702"/>
      <c r="X142" s="702"/>
      <c r="Y142" s="702"/>
      <c r="Z142" s="702"/>
      <c r="AA142" s="702"/>
      <c r="AB142" s="702"/>
      <c r="AC142" s="702"/>
      <c r="AD142" s="702"/>
      <c r="AE142" s="702"/>
      <c r="AF142" s="702"/>
      <c r="AG142" s="702"/>
      <c r="AH142" s="702"/>
      <c r="AI142" s="702"/>
      <c r="AJ142" s="702"/>
      <c r="AK142" s="703"/>
      <c r="AL142" s="18"/>
    </row>
    <row r="143" spans="1:53" s="167" customFormat="1" ht="15" customHeight="1">
      <c r="A143" s="165"/>
      <c r="B143" s="205" t="s">
        <v>128</v>
      </c>
      <c r="C143" s="736" t="s">
        <v>129</v>
      </c>
      <c r="D143" s="737"/>
      <c r="E143" s="737"/>
      <c r="F143" s="737"/>
      <c r="G143" s="737"/>
      <c r="H143" s="737"/>
      <c r="I143" s="738"/>
      <c r="J143" s="725" t="s">
        <v>130</v>
      </c>
      <c r="K143" s="725"/>
      <c r="L143" s="725"/>
      <c r="M143" s="725"/>
      <c r="N143" s="725"/>
      <c r="O143" s="725"/>
      <c r="P143" s="725"/>
      <c r="Q143" s="725"/>
      <c r="R143" s="725"/>
      <c r="S143" s="725"/>
      <c r="T143" s="725"/>
      <c r="U143" s="725"/>
      <c r="V143" s="725"/>
      <c r="W143" s="725"/>
      <c r="X143" s="725"/>
      <c r="Y143" s="725"/>
      <c r="Z143" s="725"/>
      <c r="AA143" s="725"/>
      <c r="AB143" s="725"/>
      <c r="AC143" s="725"/>
      <c r="AD143" s="725"/>
      <c r="AE143" s="725"/>
      <c r="AF143" s="725"/>
      <c r="AG143" s="725"/>
      <c r="AH143" s="725"/>
      <c r="AI143" s="725"/>
      <c r="AJ143" s="726"/>
      <c r="AK143" s="204" t="str">
        <f>IF(H6="", "",IF(AND(AK30="○", AB31="○"), "○", "×"))</f>
        <v>○</v>
      </c>
      <c r="AL143" s="18"/>
    </row>
    <row r="144" spans="1:53" s="167" customFormat="1" ht="25.9" customHeight="1">
      <c r="A144" s="165"/>
      <c r="B144" s="205" t="s">
        <v>131</v>
      </c>
      <c r="C144" s="730" t="s">
        <v>132</v>
      </c>
      <c r="D144" s="731"/>
      <c r="E144" s="731"/>
      <c r="F144" s="731"/>
      <c r="G144" s="731"/>
      <c r="H144" s="731"/>
      <c r="I144" s="732"/>
      <c r="J144" s="723" t="s">
        <v>133</v>
      </c>
      <c r="K144" s="723"/>
      <c r="L144" s="723"/>
      <c r="M144" s="723"/>
      <c r="N144" s="723"/>
      <c r="O144" s="723"/>
      <c r="P144" s="723"/>
      <c r="Q144" s="723"/>
      <c r="R144" s="723"/>
      <c r="S144" s="723"/>
      <c r="T144" s="723"/>
      <c r="U144" s="723"/>
      <c r="V144" s="723"/>
      <c r="W144" s="723"/>
      <c r="X144" s="723"/>
      <c r="Y144" s="723"/>
      <c r="Z144" s="723"/>
      <c r="AA144" s="723"/>
      <c r="AB144" s="723"/>
      <c r="AC144" s="723"/>
      <c r="AD144" s="723"/>
      <c r="AE144" s="723"/>
      <c r="AF144" s="723"/>
      <c r="AG144" s="723"/>
      <c r="AH144" s="723"/>
      <c r="AI144" s="723"/>
      <c r="AJ144" s="724"/>
      <c r="AK144" s="204" t="str">
        <f>IF(H6="","",IF(OR(AK38="○",AND(AK38="×",AK39="✓")),"○","×"))</f>
        <v>○</v>
      </c>
      <c r="AL144" s="206"/>
    </row>
    <row r="145" spans="1:38" s="167" customFormat="1" ht="24" customHeight="1">
      <c r="A145" s="19"/>
      <c r="B145" s="534" t="s">
        <v>134</v>
      </c>
      <c r="C145" s="730" t="s">
        <v>135</v>
      </c>
      <c r="D145" s="731"/>
      <c r="E145" s="731"/>
      <c r="F145" s="731"/>
      <c r="G145" s="731"/>
      <c r="H145" s="731"/>
      <c r="I145" s="732"/>
      <c r="J145" s="723" t="s">
        <v>136</v>
      </c>
      <c r="K145" s="723"/>
      <c r="L145" s="723"/>
      <c r="M145" s="723"/>
      <c r="N145" s="723"/>
      <c r="O145" s="723"/>
      <c r="P145" s="723"/>
      <c r="Q145" s="723"/>
      <c r="R145" s="723"/>
      <c r="S145" s="723"/>
      <c r="T145" s="723"/>
      <c r="U145" s="723"/>
      <c r="V145" s="723"/>
      <c r="W145" s="723"/>
      <c r="X145" s="723"/>
      <c r="Y145" s="723"/>
      <c r="Z145" s="723"/>
      <c r="AA145" s="723"/>
      <c r="AB145" s="723"/>
      <c r="AC145" s="723"/>
      <c r="AD145" s="723"/>
      <c r="AE145" s="723"/>
      <c r="AF145" s="723"/>
      <c r="AG145" s="723"/>
      <c r="AH145" s="723"/>
      <c r="AI145" s="723"/>
      <c r="AJ145" s="724"/>
      <c r="AK145" s="204" t="str">
        <f>IF(H6="","",IF(AND(BA42=0,BE42=0),"",IF(OR(AK42="○",AND(AK42="×",AK43="✓")),"○","×")))</f>
        <v>○</v>
      </c>
      <c r="AL145" s="18"/>
    </row>
    <row r="146" spans="1:38" s="13" customFormat="1" ht="26.25" customHeight="1">
      <c r="A146" s="19"/>
      <c r="B146" s="534" t="s">
        <v>137</v>
      </c>
      <c r="C146" s="730" t="s">
        <v>138</v>
      </c>
      <c r="D146" s="731"/>
      <c r="E146" s="731"/>
      <c r="F146" s="731"/>
      <c r="G146" s="731"/>
      <c r="H146" s="731"/>
      <c r="I146" s="732"/>
      <c r="J146" s="723" t="s">
        <v>2484</v>
      </c>
      <c r="K146" s="723"/>
      <c r="L146" s="723"/>
      <c r="M146" s="723"/>
      <c r="N146" s="723"/>
      <c r="O146" s="723"/>
      <c r="P146" s="723"/>
      <c r="Q146" s="723"/>
      <c r="R146" s="723"/>
      <c r="S146" s="723"/>
      <c r="T146" s="723"/>
      <c r="U146" s="723"/>
      <c r="V146" s="723"/>
      <c r="W146" s="723"/>
      <c r="X146" s="723"/>
      <c r="Y146" s="723"/>
      <c r="Z146" s="723"/>
      <c r="AA146" s="723"/>
      <c r="AB146" s="723"/>
      <c r="AC146" s="723"/>
      <c r="AD146" s="723"/>
      <c r="AE146" s="723"/>
      <c r="AF146" s="723"/>
      <c r="AG146" s="723"/>
      <c r="AH146" s="723"/>
      <c r="AI146" s="723"/>
      <c r="AJ146" s="724"/>
      <c r="AK146" s="204" t="str">
        <f>IF(H6="","",IF(AND(BA46=0,BE46=0),"",IF(AK46="○","○","×")))</f>
        <v>○</v>
      </c>
      <c r="AL146" s="18"/>
    </row>
    <row r="147" spans="1:38" s="13" customFormat="1" ht="18" customHeight="1">
      <c r="A147" s="19"/>
      <c r="B147" s="534" t="s">
        <v>139</v>
      </c>
      <c r="C147" s="730" t="s">
        <v>140</v>
      </c>
      <c r="D147" s="731"/>
      <c r="E147" s="731"/>
      <c r="F147" s="731"/>
      <c r="G147" s="731"/>
      <c r="H147" s="731"/>
      <c r="I147" s="732"/>
      <c r="J147" s="725" t="s">
        <v>2271</v>
      </c>
      <c r="K147" s="725"/>
      <c r="L147" s="725"/>
      <c r="M147" s="725"/>
      <c r="N147" s="725"/>
      <c r="O147" s="725"/>
      <c r="P147" s="725"/>
      <c r="Q147" s="725"/>
      <c r="R147" s="725"/>
      <c r="S147" s="725"/>
      <c r="T147" s="725"/>
      <c r="U147" s="725"/>
      <c r="V147" s="725"/>
      <c r="W147" s="725"/>
      <c r="X147" s="725"/>
      <c r="Y147" s="725"/>
      <c r="Z147" s="725"/>
      <c r="AA147" s="725"/>
      <c r="AB147" s="725"/>
      <c r="AC147" s="725"/>
      <c r="AD147" s="725"/>
      <c r="AE147" s="725"/>
      <c r="AF147" s="725"/>
      <c r="AG147" s="725"/>
      <c r="AH147" s="725"/>
      <c r="AI147" s="725"/>
      <c r="AJ147" s="726"/>
      <c r="AK147" s="204" t="str">
        <f>IF(H6="","",IF(AND(BA51=0,BE51=0),"",IF(AK51="○","○","×")))</f>
        <v>○</v>
      </c>
      <c r="AL147" s="206"/>
    </row>
    <row r="148" spans="1:38" s="13" customFormat="1" ht="22.15" customHeight="1">
      <c r="A148" s="19"/>
      <c r="B148" s="716" t="s">
        <v>141</v>
      </c>
      <c r="C148" s="717" t="s">
        <v>142</v>
      </c>
      <c r="D148" s="718"/>
      <c r="E148" s="718"/>
      <c r="F148" s="718"/>
      <c r="G148" s="718"/>
      <c r="H148" s="718"/>
      <c r="I148" s="719"/>
      <c r="J148" s="723" t="s">
        <v>2197</v>
      </c>
      <c r="K148" s="723"/>
      <c r="L148" s="723"/>
      <c r="M148" s="723"/>
      <c r="N148" s="723"/>
      <c r="O148" s="723"/>
      <c r="P148" s="723"/>
      <c r="Q148" s="723"/>
      <c r="R148" s="723"/>
      <c r="S148" s="723"/>
      <c r="T148" s="723"/>
      <c r="U148" s="723"/>
      <c r="V148" s="723"/>
      <c r="W148" s="723"/>
      <c r="X148" s="723"/>
      <c r="Y148" s="723"/>
      <c r="Z148" s="723"/>
      <c r="AA148" s="723"/>
      <c r="AB148" s="723"/>
      <c r="AC148" s="723"/>
      <c r="AD148" s="723"/>
      <c r="AE148" s="723"/>
      <c r="AF148" s="723"/>
      <c r="AG148" s="723"/>
      <c r="AH148" s="723"/>
      <c r="AI148" s="723"/>
      <c r="AJ148" s="724"/>
      <c r="AK148" s="204" t="str">
        <f>IF(H6="", "",IF(OR(AK54="○", AK56="○"), "○", "×"))</f>
        <v>○</v>
      </c>
      <c r="AL148" s="18"/>
    </row>
    <row r="149" spans="1:38" s="13" customFormat="1">
      <c r="A149" s="19"/>
      <c r="B149" s="716"/>
      <c r="C149" s="720"/>
      <c r="D149" s="721"/>
      <c r="E149" s="721"/>
      <c r="F149" s="721"/>
      <c r="G149" s="721"/>
      <c r="H149" s="721"/>
      <c r="I149" s="722"/>
      <c r="J149" s="725" t="s">
        <v>2272</v>
      </c>
      <c r="K149" s="725"/>
      <c r="L149" s="725"/>
      <c r="M149" s="725"/>
      <c r="N149" s="725"/>
      <c r="O149" s="725"/>
      <c r="P149" s="725"/>
      <c r="Q149" s="725"/>
      <c r="R149" s="725"/>
      <c r="S149" s="725"/>
      <c r="T149" s="725"/>
      <c r="U149" s="725"/>
      <c r="V149" s="725"/>
      <c r="W149" s="725"/>
      <c r="X149" s="725"/>
      <c r="Y149" s="725"/>
      <c r="Z149" s="725"/>
      <c r="AA149" s="725"/>
      <c r="AB149" s="725"/>
      <c r="AC149" s="725"/>
      <c r="AD149" s="725"/>
      <c r="AE149" s="725"/>
      <c r="AF149" s="725"/>
      <c r="AG149" s="725"/>
      <c r="AH149" s="725"/>
      <c r="AI149" s="725"/>
      <c r="AJ149" s="726"/>
      <c r="AK149" s="204" t="str">
        <f>IF(H6="", "", AK99)</f>
        <v>○</v>
      </c>
      <c r="AL149" s="18"/>
    </row>
    <row r="150" spans="1:38" ht="15" customHeight="1">
      <c r="A150" s="18"/>
      <c r="B150" s="375" t="s">
        <v>143</v>
      </c>
      <c r="C150" s="727" t="s">
        <v>144</v>
      </c>
      <c r="D150" s="727"/>
      <c r="E150" s="727"/>
      <c r="F150" s="727"/>
      <c r="G150" s="727"/>
      <c r="H150" s="727"/>
      <c r="I150" s="727"/>
      <c r="J150" s="728" t="s">
        <v>145</v>
      </c>
      <c r="K150" s="728"/>
      <c r="L150" s="728"/>
      <c r="M150" s="728"/>
      <c r="N150" s="728"/>
      <c r="O150" s="728"/>
      <c r="P150" s="728"/>
      <c r="Q150" s="728"/>
      <c r="R150" s="728"/>
      <c r="S150" s="728"/>
      <c r="T150" s="728"/>
      <c r="U150" s="728"/>
      <c r="V150" s="728"/>
      <c r="W150" s="728"/>
      <c r="X150" s="728"/>
      <c r="Y150" s="728"/>
      <c r="Z150" s="728"/>
      <c r="AA150" s="728"/>
      <c r="AB150" s="728"/>
      <c r="AC150" s="728"/>
      <c r="AD150" s="728"/>
      <c r="AE150" s="728"/>
      <c r="AF150" s="728"/>
      <c r="AG150" s="728"/>
      <c r="AH150" s="728"/>
      <c r="AI150" s="728"/>
      <c r="AJ150" s="729"/>
      <c r="AK150" s="376" t="str">
        <f>IF(H6="", "", AK105)</f>
        <v>○</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701" t="s">
        <v>146</v>
      </c>
      <c r="C152" s="702"/>
      <c r="D152" s="702"/>
      <c r="E152" s="702"/>
      <c r="F152" s="702"/>
      <c r="G152" s="702"/>
      <c r="H152" s="702"/>
      <c r="I152" s="702"/>
      <c r="J152" s="702"/>
      <c r="K152" s="702"/>
      <c r="L152" s="702"/>
      <c r="M152" s="702"/>
      <c r="N152" s="702"/>
      <c r="O152" s="702"/>
      <c r="P152" s="702"/>
      <c r="Q152" s="702"/>
      <c r="R152" s="702"/>
      <c r="S152" s="702"/>
      <c r="T152" s="702"/>
      <c r="U152" s="702"/>
      <c r="V152" s="702"/>
      <c r="W152" s="702"/>
      <c r="X152" s="702"/>
      <c r="Y152" s="702"/>
      <c r="Z152" s="702"/>
      <c r="AA152" s="702"/>
      <c r="AB152" s="702"/>
      <c r="AC152" s="702"/>
      <c r="AD152" s="702"/>
      <c r="AE152" s="702"/>
      <c r="AF152" s="702"/>
      <c r="AG152" s="702"/>
      <c r="AH152" s="702"/>
      <c r="AI152" s="702"/>
      <c r="AJ152" s="702"/>
      <c r="AK152" s="703"/>
      <c r="AL152" s="18"/>
    </row>
    <row r="153" spans="1:38" ht="13.15" customHeight="1">
      <c r="A153" s="18"/>
      <c r="B153" s="207" t="s">
        <v>58</v>
      </c>
      <c r="C153" s="704" t="s">
        <v>147</v>
      </c>
      <c r="D153" s="705"/>
      <c r="E153" s="705"/>
      <c r="F153" s="705"/>
      <c r="G153" s="705"/>
      <c r="H153" s="705"/>
      <c r="I153" s="705"/>
      <c r="J153" s="705"/>
      <c r="K153" s="705"/>
      <c r="L153" s="705"/>
      <c r="M153" s="705"/>
      <c r="N153" s="705"/>
      <c r="O153" s="705"/>
      <c r="P153" s="705"/>
      <c r="Q153" s="705"/>
      <c r="R153" s="705"/>
      <c r="S153" s="705"/>
      <c r="T153" s="705"/>
      <c r="U153" s="705"/>
      <c r="V153" s="705"/>
      <c r="W153" s="705"/>
      <c r="X153" s="705"/>
      <c r="Y153" s="705"/>
      <c r="Z153" s="705"/>
      <c r="AA153" s="705"/>
      <c r="AB153" s="705"/>
      <c r="AC153" s="705"/>
      <c r="AD153" s="705"/>
      <c r="AE153" s="705"/>
      <c r="AF153" s="705"/>
      <c r="AG153" s="705"/>
      <c r="AH153" s="705"/>
      <c r="AI153" s="705"/>
      <c r="AJ153" s="706"/>
      <c r="AK153" s="204" t="str">
        <f>IF(H6="", "",AK115)</f>
        <v>○</v>
      </c>
      <c r="AL153" s="18"/>
    </row>
    <row r="154" spans="1:38" ht="13.15" customHeight="1">
      <c r="A154" s="18"/>
      <c r="B154" s="208" t="s">
        <v>58</v>
      </c>
      <c r="C154" s="707" t="s">
        <v>148</v>
      </c>
      <c r="D154" s="708"/>
      <c r="E154" s="708"/>
      <c r="F154" s="708"/>
      <c r="G154" s="708"/>
      <c r="H154" s="708"/>
      <c r="I154" s="708"/>
      <c r="J154" s="708"/>
      <c r="K154" s="708"/>
      <c r="L154" s="708"/>
      <c r="M154" s="708"/>
      <c r="N154" s="708"/>
      <c r="O154" s="708"/>
      <c r="P154" s="708"/>
      <c r="Q154" s="708"/>
      <c r="R154" s="708"/>
      <c r="S154" s="708"/>
      <c r="T154" s="708"/>
      <c r="U154" s="708"/>
      <c r="V154" s="708"/>
      <c r="W154" s="708"/>
      <c r="X154" s="708"/>
      <c r="Y154" s="708"/>
      <c r="Z154" s="708"/>
      <c r="AA154" s="708"/>
      <c r="AB154" s="708"/>
      <c r="AC154" s="708"/>
      <c r="AD154" s="708"/>
      <c r="AE154" s="708"/>
      <c r="AF154" s="708"/>
      <c r="AG154" s="708"/>
      <c r="AH154" s="708"/>
      <c r="AI154" s="708"/>
      <c r="AJ154" s="709"/>
      <c r="AK154" s="204" t="str">
        <f>IF(H6="", "",AK127)</f>
        <v>○</v>
      </c>
      <c r="AL154" s="18"/>
    </row>
    <row r="155" spans="1:38" ht="4.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9" customHeight="1"/>
    <row r="157" spans="1:38" ht="13.15" customHeight="1"/>
    <row r="163" ht="13.15" customHeight="1"/>
    <row r="165" ht="27.6" customHeight="1"/>
    <row r="166" ht="27" customHeight="1"/>
    <row r="167" ht="19.899999999999999" customHeight="1"/>
    <row r="168" ht="18" customHeight="1"/>
    <row r="169" s="14" customFormat="1" ht="12.75"/>
    <row r="170" s="14" customFormat="1" ht="12.75"/>
    <row r="171" s="14" customFormat="1" ht="24" customHeight="1"/>
    <row r="172" ht="26.45" customHeight="1"/>
    <row r="173" ht="34.15" customHeight="1"/>
    <row r="174" ht="33.6" customHeight="1"/>
    <row r="175" ht="15.6" customHeight="1"/>
  </sheetData>
  <sheetProtection algorithmName="SHA-512" hashValue="euNRonsdyeruxS7makZn6dtS2+fYI4f+DepI4qCVBqu1V29f/HRVtjqOkIy2p2ashp6cccyPNmdIm+7kgCVcsA==" saltValue="Xc0kvJaPmFAy52jAmDiNqw==" spinCount="100000" sheet="1" formatCells="0" formatColumns="0" formatRows="0" sort="0" autoFilter="0"/>
  <mergeCells count="23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 ref="B7:G9"/>
    <mergeCell ref="I7:L7"/>
    <mergeCell ref="H8:AK8"/>
    <mergeCell ref="H9:AK9"/>
    <mergeCell ref="B10:G10"/>
    <mergeCell ref="H10:AK10"/>
    <mergeCell ref="AC1:AE1"/>
    <mergeCell ref="AF1:AK1"/>
    <mergeCell ref="B3:AK3"/>
    <mergeCell ref="B5:G5"/>
    <mergeCell ref="H5:AK5"/>
    <mergeCell ref="B6:G6"/>
    <mergeCell ref="H6:AK6"/>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20:W20"/>
    <mergeCell ref="C21:P21"/>
    <mergeCell ref="Q21:V21"/>
    <mergeCell ref="Y21:Y22"/>
    <mergeCell ref="AA21:AA24"/>
    <mergeCell ref="C22:P22"/>
    <mergeCell ref="Q22:V22"/>
    <mergeCell ref="C23:P23"/>
    <mergeCell ref="Q23:V23"/>
    <mergeCell ref="C24:P24"/>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E50:BH50"/>
    <mergeCell ref="B51:AJ51"/>
    <mergeCell ref="BA51:BD51"/>
    <mergeCell ref="BE51:BH51"/>
    <mergeCell ref="B43:AJ43"/>
    <mergeCell ref="B45:AK45"/>
    <mergeCell ref="BA45:BD45"/>
    <mergeCell ref="BE45:BH45"/>
    <mergeCell ref="B46:AJ46"/>
    <mergeCell ref="BA46:BD46"/>
    <mergeCell ref="BE46:BH46"/>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G74:AK74"/>
    <mergeCell ref="E75:F75"/>
    <mergeCell ref="AM68:AX69"/>
    <mergeCell ref="BA68:BA71"/>
    <mergeCell ref="E69:F69"/>
    <mergeCell ref="G69:AK69"/>
    <mergeCell ref="E70:F70"/>
    <mergeCell ref="G70:AK70"/>
    <mergeCell ref="E71:F71"/>
    <mergeCell ref="G71:AK71"/>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B93:D96"/>
    <mergeCell ref="E93:F93"/>
    <mergeCell ref="G93:AK93"/>
    <mergeCell ref="E88:F88"/>
    <mergeCell ref="G88:AK88"/>
    <mergeCell ref="E89:F89"/>
    <mergeCell ref="G89:AK89"/>
    <mergeCell ref="E90:F90"/>
    <mergeCell ref="G90:AK90"/>
    <mergeCell ref="AM93:AX94"/>
    <mergeCell ref="BA93:BA96"/>
    <mergeCell ref="E94:F94"/>
    <mergeCell ref="G94:AK94"/>
    <mergeCell ref="E95:F95"/>
    <mergeCell ref="G95:AK95"/>
    <mergeCell ref="E96:F96"/>
    <mergeCell ref="G96:AK96"/>
    <mergeCell ref="E91:F91"/>
    <mergeCell ref="G91:AK91"/>
    <mergeCell ref="E92:F92"/>
    <mergeCell ref="G92:AK92"/>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AND($BA$42=0,$BE$42=0,$H$6&lt;&gt;"")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AND($BA$42=0,$BE$42=0,$H$6&lt;&gt;"")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133350</xdr:colOff>
                    <xdr:row>115</xdr:row>
                    <xdr:rowOff>133350</xdr:rowOff>
                  </from>
                  <to>
                    <xdr:col>1</xdr:col>
                    <xdr:colOff>190500</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133350</xdr:colOff>
                    <xdr:row>116</xdr:row>
                    <xdr:rowOff>19050</xdr:rowOff>
                  </from>
                  <to>
                    <xdr:col>2</xdr:col>
                    <xdr:colOff>9525</xdr:colOff>
                    <xdr:row>117</xdr:row>
                    <xdr:rowOff>19050</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133350</xdr:colOff>
                    <xdr:row>117</xdr:row>
                    <xdr:rowOff>19050</xdr:rowOff>
                  </from>
                  <to>
                    <xdr:col>2</xdr:col>
                    <xdr:colOff>9525</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133350</xdr:colOff>
                    <xdr:row>118</xdr:row>
                    <xdr:rowOff>19050</xdr:rowOff>
                  </from>
                  <to>
                    <xdr:col>2</xdr:col>
                    <xdr:colOff>9525</xdr:colOff>
                    <xdr:row>119</xdr:row>
                    <xdr:rowOff>19050</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133350</xdr:colOff>
                    <xdr:row>119</xdr:row>
                    <xdr:rowOff>19050</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133350</xdr:colOff>
                    <xdr:row>121</xdr:row>
                    <xdr:rowOff>19050</xdr:rowOff>
                  </from>
                  <to>
                    <xdr:col>2</xdr:col>
                    <xdr:colOff>0</xdr:colOff>
                    <xdr:row>122</xdr:row>
                    <xdr:rowOff>19050</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133350</xdr:colOff>
                    <xdr:row>120</xdr:row>
                    <xdr:rowOff>19050</xdr:rowOff>
                  </from>
                  <to>
                    <xdr:col>2</xdr:col>
                    <xdr:colOff>9525</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13"/>
  <sheetViews>
    <sheetView view="pageBreakPreview" zoomScale="60" zoomScaleNormal="85" zoomScalePageLayoutView="70" workbookViewId="0"/>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4" width="14" customWidth="1"/>
    <col min="15" max="15" width="20.7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2.87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314" customWidth="1"/>
    <col min="36" max="36" width="20.875" style="314" customWidth="1"/>
    <col min="37" max="37" width="21.375" style="260" customWidth="1"/>
    <col min="38" max="40" width="22.375" style="261" customWidth="1"/>
    <col min="41" max="41" width="21.25" style="261" hidden="1" customWidth="1"/>
    <col min="42" max="42" width="20.25" style="17" hidden="1" customWidth="1"/>
    <col min="43" max="43" width="14.375" style="17" hidden="1" customWidth="1"/>
    <col min="44" max="44" width="17.75" style="219" hidden="1" customWidth="1"/>
    <col min="45" max="45" width="20.25" style="17" hidden="1" customWidth="1"/>
    <col min="46" max="47" width="14.375" style="219" hidden="1" customWidth="1"/>
    <col min="48" max="48" width="25.375" style="219" hidden="1" customWidth="1"/>
    <col min="49" max="49" width="24.5" style="219" hidden="1" customWidth="1"/>
    <col min="50" max="50" width="21.75" style="219" hidden="1" customWidth="1"/>
    <col min="51" max="51" width="27.625" style="219" hidden="1" customWidth="1"/>
    <col min="52" max="52" width="16.25" style="219" hidden="1" customWidth="1"/>
    <col min="53" max="53" width="9.5" style="219" hidden="1" customWidth="1"/>
    <col min="54" max="54" width="23.25" style="219" hidden="1" customWidth="1"/>
    <col min="55" max="55" width="16.25" style="219" hidden="1" customWidth="1"/>
    <col min="56" max="56" width="9.5" style="219" hidden="1" customWidth="1"/>
    <col min="57" max="57" width="9" style="219" hidden="1" customWidth="1"/>
    <col min="58" max="58" width="15.125" style="219" hidden="1" customWidth="1"/>
    <col min="59" max="59" width="3.5" style="219" hidden="1" customWidth="1"/>
    <col min="60" max="60" width="14.375" style="219" hidden="1" customWidth="1"/>
    <col min="61" max="61" width="13.875" style="560" hidden="1" customWidth="1"/>
    <col min="62" max="62" width="15.375" style="560" hidden="1" customWidth="1"/>
    <col min="63" max="63" width="12.875" style="219" customWidth="1"/>
    <col min="64" max="64" width="11.375" style="219" customWidth="1"/>
    <col min="65" max="67" width="6.875" style="219" customWidth="1"/>
    <col min="68" max="68" width="6.875" style="220" customWidth="1"/>
    <col min="69" max="69" width="22.125" customWidth="1"/>
  </cols>
  <sheetData>
    <row r="1" spans="1:69" ht="29.25" customHeight="1" thickBot="1">
      <c r="A1" s="209" t="s">
        <v>149</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24" t="s">
        <v>3</v>
      </c>
      <c r="AK1" s="524" t="str">
        <f>IF(基本情報入力シート!C11="", "",基本情報入力シート!C11)</f>
        <v>東京都</v>
      </c>
      <c r="AL1" s="217"/>
      <c r="AM1" s="217"/>
      <c r="AN1" s="217"/>
      <c r="AO1" s="217"/>
      <c r="AP1" s="218"/>
      <c r="AQ1" s="217"/>
      <c r="AS1" s="218"/>
      <c r="BH1" s="220"/>
      <c r="BI1" s="559"/>
      <c r="BJ1" s="559"/>
      <c r="BK1"/>
      <c r="BL1"/>
      <c r="BM1"/>
      <c r="BN1"/>
      <c r="BO1"/>
      <c r="BP1"/>
    </row>
    <row r="2" spans="1:69"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59"/>
      <c r="BJ2" s="559"/>
      <c r="BK2"/>
      <c r="BL2"/>
      <c r="BM2"/>
      <c r="BN2"/>
      <c r="BO2"/>
      <c r="BP2"/>
    </row>
    <row r="3" spans="1:69" ht="27" customHeight="1" thickBot="1">
      <c r="A3" s="989" t="s">
        <v>46</v>
      </c>
      <c r="B3" s="989"/>
      <c r="C3" s="990"/>
      <c r="D3" s="991" t="str">
        <f>IF(基本情報入力シート!L16="","",基本情報入力シート!L16)</f>
        <v>○○サービス事業所</v>
      </c>
      <c r="E3" s="992"/>
      <c r="F3" s="992"/>
      <c r="G3" s="992"/>
      <c r="H3" s="992"/>
      <c r="I3" s="992"/>
      <c r="J3" s="993"/>
      <c r="K3" s="96"/>
      <c r="L3" s="227"/>
      <c r="M3" s="227"/>
      <c r="N3" s="227"/>
      <c r="O3" s="529"/>
      <c r="P3" s="529"/>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 customHeight="1" thickBot="1">
      <c r="A4" s="545"/>
      <c r="B4" s="229"/>
      <c r="C4" s="229"/>
      <c r="D4" s="230"/>
      <c r="E4" s="230"/>
      <c r="F4" s="230"/>
      <c r="G4" s="55"/>
      <c r="H4" s="55"/>
      <c r="I4" s="55"/>
      <c r="J4" s="55"/>
      <c r="K4" s="55"/>
      <c r="L4" s="227"/>
      <c r="M4" s="227"/>
      <c r="N4" s="227"/>
      <c r="O4" s="529"/>
      <c r="P4" s="529"/>
      <c r="Q4" s="213"/>
      <c r="R4" s="214"/>
      <c r="S4" s="57"/>
      <c r="T4" s="215"/>
      <c r="U4" s="215"/>
      <c r="V4" s="215"/>
      <c r="W4" s="215"/>
      <c r="X4" s="215"/>
      <c r="Y4" s="215"/>
      <c r="Z4" s="215"/>
      <c r="AA4" s="215"/>
      <c r="AB4" s="215"/>
      <c r="AC4" s="215"/>
      <c r="AD4" s="215"/>
      <c r="AE4" s="215"/>
      <c r="AF4" s="216"/>
      <c r="AG4" s="994" t="s">
        <v>2193</v>
      </c>
      <c r="AH4" s="994"/>
      <c r="AI4" s="994"/>
      <c r="AJ4" s="994"/>
      <c r="AK4" s="994"/>
      <c r="AL4" s="52"/>
      <c r="AM4" s="52"/>
      <c r="AN4" s="52"/>
      <c r="AO4" s="52"/>
      <c r="AP4" s="52"/>
      <c r="AS4" s="52"/>
      <c r="BL4" s="220"/>
      <c r="BM4"/>
      <c r="BN4"/>
      <c r="BO4"/>
      <c r="BP4"/>
    </row>
    <row r="5" spans="1:69" ht="35.25" customHeight="1" thickBot="1">
      <c r="A5" s="979" t="s">
        <v>150</v>
      </c>
      <c r="B5" s="980"/>
      <c r="C5" s="980"/>
      <c r="D5" s="980"/>
      <c r="E5" s="980"/>
      <c r="F5" s="980"/>
      <c r="G5" s="980"/>
      <c r="H5" s="980"/>
      <c r="I5" s="980"/>
      <c r="J5" s="980"/>
      <c r="K5" s="981"/>
      <c r="L5" s="982">
        <f>IFERROR(SUM(AC:AC),"")</f>
        <v>4690778</v>
      </c>
      <c r="M5" s="983"/>
      <c r="N5" s="984"/>
      <c r="O5" s="232" t="s">
        <v>54</v>
      </c>
      <c r="P5" s="529"/>
      <c r="Q5" s="233"/>
      <c r="R5" s="213"/>
      <c r="S5" s="214"/>
      <c r="T5" s="57"/>
      <c r="U5" s="215"/>
      <c r="V5" s="215"/>
      <c r="W5" s="215"/>
      <c r="X5" s="215"/>
      <c r="Y5" s="215"/>
      <c r="Z5" s="215"/>
      <c r="AA5" s="215"/>
      <c r="AB5" s="215"/>
      <c r="AC5" s="215"/>
      <c r="AD5" s="215"/>
      <c r="AE5" s="215"/>
      <c r="AF5" s="216"/>
      <c r="AG5" s="995" t="s">
        <v>2230</v>
      </c>
      <c r="AH5" s="996"/>
      <c r="AI5" s="996"/>
      <c r="AJ5" s="997"/>
      <c r="AK5" s="322">
        <f>COUNTIF(AU:AU,"対象")</f>
        <v>2</v>
      </c>
      <c r="AL5" s="53"/>
      <c r="AM5" s="53"/>
      <c r="AN5" s="53"/>
      <c r="AO5" s="53"/>
      <c r="AP5" s="231"/>
      <c r="AQ5" s="234"/>
      <c r="AS5" s="231"/>
      <c r="BL5" s="220"/>
      <c r="BM5"/>
      <c r="BN5"/>
      <c r="BO5"/>
      <c r="BP5"/>
    </row>
    <row r="6" spans="1:69" ht="35.25" customHeight="1" thickBot="1">
      <c r="A6" s="235"/>
      <c r="B6" s="979" t="s">
        <v>151</v>
      </c>
      <c r="C6" s="980"/>
      <c r="D6" s="980"/>
      <c r="E6" s="980"/>
      <c r="F6" s="980"/>
      <c r="G6" s="980"/>
      <c r="H6" s="980"/>
      <c r="I6" s="980"/>
      <c r="J6" s="980"/>
      <c r="K6" s="981"/>
      <c r="L6" s="982">
        <f>IFERROR(SUM(AE:AE),"")</f>
        <v>2047038</v>
      </c>
      <c r="M6" s="983"/>
      <c r="N6" s="984"/>
      <c r="O6" s="232" t="s">
        <v>54</v>
      </c>
      <c r="P6" s="212"/>
      <c r="Q6" s="233"/>
      <c r="R6" s="213"/>
      <c r="S6" s="214"/>
      <c r="T6" s="57"/>
      <c r="U6" s="215"/>
      <c r="V6" s="215"/>
      <c r="W6" s="215"/>
      <c r="X6" s="215"/>
      <c r="Y6" s="215"/>
      <c r="Z6" s="215"/>
      <c r="AA6" s="215"/>
      <c r="AB6" s="215"/>
      <c r="AC6" s="215"/>
      <c r="AD6" s="215"/>
      <c r="AE6" s="215"/>
      <c r="AF6" s="216"/>
      <c r="AG6" s="985" t="s">
        <v>2469</v>
      </c>
      <c r="AH6" s="986"/>
      <c r="AI6" s="986"/>
      <c r="AJ6" s="987"/>
      <c r="AK6" s="557">
        <f>COUNTIF(AI13:AI113,"○")</f>
        <v>2</v>
      </c>
      <c r="AL6" s="231"/>
      <c r="AM6" s="231"/>
      <c r="AN6" s="231"/>
      <c r="AO6" s="231"/>
      <c r="AP6" s="231"/>
      <c r="AQ6" s="234"/>
      <c r="AS6" s="231"/>
      <c r="AV6" s="236"/>
      <c r="AW6" s="236"/>
      <c r="AX6" s="236"/>
      <c r="AY6" s="988"/>
      <c r="AZ6" s="988"/>
      <c r="BA6" s="988"/>
      <c r="BB6" s="988"/>
      <c r="BC6" s="988"/>
      <c r="BD6" s="988"/>
      <c r="BE6" s="988"/>
      <c r="BF6" s="988"/>
      <c r="BG6" s="988"/>
      <c r="BH6" s="988"/>
      <c r="BI6" s="988"/>
      <c r="BJ6" s="988"/>
      <c r="BK6" s="543"/>
      <c r="BL6" s="988"/>
      <c r="BM6" s="988"/>
      <c r="BN6" s="988"/>
      <c r="BO6" s="988"/>
      <c r="BP6" s="988"/>
    </row>
    <row r="7" spans="1:69" ht="35.25" customHeight="1">
      <c r="A7" s="998" t="s">
        <v>2457</v>
      </c>
      <c r="B7" s="999"/>
      <c r="C7" s="999"/>
      <c r="D7" s="999"/>
      <c r="E7" s="999"/>
      <c r="F7" s="999"/>
      <c r="G7" s="999"/>
      <c r="H7" s="999"/>
      <c r="I7" s="999"/>
      <c r="J7" s="999"/>
      <c r="K7" s="1000"/>
      <c r="L7" s="1001">
        <f>SUM(AD13:AD113)</f>
        <v>0</v>
      </c>
      <c r="M7" s="1001"/>
      <c r="N7" s="1001"/>
      <c r="O7" s="232" t="s">
        <v>2458</v>
      </c>
      <c r="P7" s="212"/>
      <c r="Q7" s="233"/>
      <c r="R7" s="213"/>
      <c r="S7" s="214"/>
      <c r="T7" s="57"/>
      <c r="U7" s="215"/>
      <c r="V7" s="215"/>
      <c r="W7" s="215"/>
      <c r="X7" s="215"/>
      <c r="Y7" s="215"/>
      <c r="Z7" s="215"/>
      <c r="AA7" s="215"/>
      <c r="AB7" s="215"/>
      <c r="AC7" s="215"/>
      <c r="AD7" s="215"/>
      <c r="AE7" s="215"/>
      <c r="AF7" s="216"/>
      <c r="AG7" s="569"/>
      <c r="AH7" s="569"/>
      <c r="AI7" s="569"/>
      <c r="AJ7" s="569"/>
      <c r="AK7" s="558"/>
      <c r="AL7" s="231"/>
      <c r="AM7" s="231"/>
      <c r="AN7" s="231"/>
      <c r="AO7" s="231"/>
      <c r="AP7" s="231"/>
      <c r="AQ7" s="234"/>
      <c r="AS7" s="231"/>
      <c r="AV7" s="236"/>
      <c r="AW7" s="236"/>
      <c r="AX7" s="236"/>
      <c r="AY7" s="543"/>
      <c r="AZ7" s="543"/>
      <c r="BA7" s="543"/>
      <c r="BB7" s="543"/>
      <c r="BC7" s="543"/>
      <c r="BD7" s="543"/>
      <c r="BE7" s="543"/>
      <c r="BF7" s="543"/>
      <c r="BG7" s="543"/>
      <c r="BH7" s="543"/>
      <c r="BI7" s="561"/>
      <c r="BJ7" s="561"/>
      <c r="BK7" s="543"/>
      <c r="BL7" s="543"/>
      <c r="BM7" s="543"/>
      <c r="BN7" s="543"/>
      <c r="BO7" s="543"/>
      <c r="BP7" s="543"/>
    </row>
    <row r="8" spans="1:69" ht="35.25" customHeight="1">
      <c r="A8" s="976" t="s">
        <v>2478</v>
      </c>
      <c r="B8" s="976"/>
      <c r="C8" s="976"/>
      <c r="D8" s="976"/>
      <c r="E8" s="976"/>
      <c r="F8" s="976"/>
      <c r="G8" s="976"/>
      <c r="H8" s="976"/>
      <c r="I8" s="976"/>
      <c r="J8" s="976"/>
      <c r="K8" s="976"/>
      <c r="L8" s="977"/>
      <c r="M8" s="540"/>
      <c r="N8" s="540"/>
      <c r="O8" s="321"/>
      <c r="P8" s="212"/>
      <c r="Q8" s="233"/>
      <c r="R8" s="213"/>
      <c r="S8" s="214"/>
      <c r="T8" s="57"/>
      <c r="U8" s="215"/>
      <c r="V8" s="215"/>
      <c r="W8" s="215"/>
      <c r="X8" s="215"/>
      <c r="Y8" s="215"/>
      <c r="Z8" s="215"/>
      <c r="AA8" s="215"/>
      <c r="AB8" s="215"/>
      <c r="AC8" s="215"/>
      <c r="AD8" s="215"/>
      <c r="AE8" s="215"/>
      <c r="AF8" s="216"/>
      <c r="AG8" s="566"/>
      <c r="AH8" s="12"/>
      <c r="AL8" s="231"/>
      <c r="AM8" s="231"/>
      <c r="AN8" s="231"/>
      <c r="AO8" s="231"/>
      <c r="AP8" s="231"/>
      <c r="AQ8" s="234"/>
      <c r="AS8" s="231"/>
      <c r="AV8" s="236"/>
      <c r="AW8" s="236"/>
      <c r="AX8" s="236"/>
      <c r="AY8" s="543"/>
      <c r="AZ8" s="543"/>
      <c r="BA8" s="543"/>
      <c r="BB8" s="543"/>
      <c r="BC8" s="543"/>
      <c r="BD8" s="543"/>
      <c r="BE8" s="543"/>
      <c r="BF8" s="543"/>
      <c r="BG8" s="543"/>
      <c r="BH8" s="543"/>
      <c r="BI8" s="561"/>
      <c r="BJ8" s="561"/>
      <c r="BK8" s="543"/>
      <c r="BL8" s="543"/>
      <c r="BM8" s="543"/>
      <c r="BN8" s="543"/>
      <c r="BO8" s="543"/>
      <c r="BP8" s="543"/>
    </row>
    <row r="9" spans="1:69" ht="35.2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978"/>
      <c r="AS9" s="978"/>
      <c r="AT9" s="978"/>
      <c r="AU9" s="978"/>
      <c r="AV9" s="978"/>
      <c r="AW9" s="978"/>
      <c r="AX9" s="978"/>
      <c r="AY9" s="978"/>
      <c r="AZ9" s="541"/>
      <c r="BA9" s="978"/>
      <c r="BB9" s="978"/>
      <c r="BC9" s="978"/>
      <c r="BD9" s="978"/>
      <c r="BE9" s="978"/>
      <c r="BF9" s="978"/>
      <c r="BG9" s="541"/>
      <c r="BH9" s="978"/>
      <c r="BI9" s="978"/>
      <c r="BJ9" s="978"/>
      <c r="BK9" s="978"/>
      <c r="BL9" s="978"/>
      <c r="BM9"/>
      <c r="BN9"/>
      <c r="BO9"/>
      <c r="BP9"/>
    </row>
    <row r="10" spans="1:69" s="18" customFormat="1" ht="31.9"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956" t="str">
        <f>IF(D3="", "", IFERROR(IF(COUNTIF(AQ13:AQ113,"未入力")=0,"○","×"),""))</f>
        <v>○</v>
      </c>
      <c r="AF10" s="957"/>
      <c r="AG10" s="312" t="str">
        <f>IF(D3="", "", IFERROR(IF(COUNTIF(AR:AR,"未入力")=0,"○","×"),""))</f>
        <v>○</v>
      </c>
      <c r="AH10" s="312" t="str">
        <f>IF(D3="", "", IFERROR(IF(COUNTIF(AT:AT,"未入力")=0,"○","×"),""))</f>
        <v>○</v>
      </c>
      <c r="AI10" s="542" t="str">
        <f>IF(D3="","",IF(AK6&gt;=AK5,"○","×"))</f>
        <v>○</v>
      </c>
      <c r="AJ10" s="242" t="str">
        <f>IF(D3="","", IF(COUNTIF(BA:BA,"未入力")=0,"○","×"))</f>
        <v>○</v>
      </c>
      <c r="AK10" s="242" t="str">
        <f>IF(D3="","",IF(BG13=0,"",IF(COUNTIF(BD:BD,"未入力")=0,"○","×")))</f>
        <v>○</v>
      </c>
      <c r="AL10" s="301"/>
      <c r="AM10" s="301"/>
      <c r="AN10" s="52"/>
      <c r="AO10" s="52"/>
      <c r="BB10" s="243"/>
      <c r="BC10" s="243"/>
      <c r="BD10" s="243"/>
      <c r="BE10" s="243"/>
      <c r="BF10" s="243"/>
      <c r="BG10" s="243"/>
      <c r="BH10" s="243"/>
      <c r="BI10" s="593"/>
      <c r="BJ10" s="594">
        <f>BI11+BJ11</f>
        <v>2986012</v>
      </c>
    </row>
    <row r="11" spans="1:69" ht="53.25" customHeight="1" thickBot="1">
      <c r="A11" s="958"/>
      <c r="B11" s="960" t="s">
        <v>2225</v>
      </c>
      <c r="C11" s="961"/>
      <c r="D11" s="961"/>
      <c r="E11" s="961"/>
      <c r="F11" s="962"/>
      <c r="G11" s="966" t="s">
        <v>32</v>
      </c>
      <c r="H11" s="968" t="s">
        <v>33</v>
      </c>
      <c r="I11" s="968"/>
      <c r="J11" s="969" t="s">
        <v>152</v>
      </c>
      <c r="K11" s="971" t="s">
        <v>35</v>
      </c>
      <c r="L11" s="973" t="s">
        <v>2231</v>
      </c>
      <c r="M11" s="975" t="s">
        <v>2453</v>
      </c>
      <c r="N11" s="975"/>
      <c r="O11" s="941" t="s">
        <v>153</v>
      </c>
      <c r="P11" s="943" t="s">
        <v>2226</v>
      </c>
      <c r="Q11" s="945" t="s">
        <v>2227</v>
      </c>
      <c r="R11" s="946"/>
      <c r="S11" s="946"/>
      <c r="T11" s="946"/>
      <c r="U11" s="946"/>
      <c r="V11" s="946"/>
      <c r="W11" s="946"/>
      <c r="X11" s="946"/>
      <c r="Y11" s="946"/>
      <c r="Z11" s="946"/>
      <c r="AA11" s="946"/>
      <c r="AB11" s="947"/>
      <c r="AC11" s="951" t="s">
        <v>2228</v>
      </c>
      <c r="AD11" s="953" t="s">
        <v>2456</v>
      </c>
      <c r="AE11" s="955" t="s">
        <v>154</v>
      </c>
      <c r="AF11" s="943"/>
      <c r="AG11" s="544" t="s">
        <v>155</v>
      </c>
      <c r="AH11" s="544" t="s">
        <v>156</v>
      </c>
      <c r="AI11" s="544" t="s">
        <v>157</v>
      </c>
      <c r="AJ11" s="282" t="s">
        <v>158</v>
      </c>
      <c r="AK11" s="284" t="s">
        <v>159</v>
      </c>
      <c r="AL11" s="302"/>
      <c r="AM11" s="302"/>
      <c r="AN11" s="244"/>
      <c r="AO11" s="553" t="s">
        <v>160</v>
      </c>
      <c r="AP11" s="554"/>
      <c r="AR11" s="27"/>
      <c r="AS11" s="27"/>
      <c r="AT11" s="27"/>
      <c r="AU11" s="27"/>
      <c r="AV11" s="27"/>
      <c r="AW11" s="27"/>
      <c r="AX11" s="27"/>
      <c r="AY11" s="27"/>
      <c r="AZ11" s="27"/>
      <c r="BA11" s="27"/>
      <c r="BB11" s="27"/>
      <c r="BC11" s="27"/>
      <c r="BD11" s="27"/>
      <c r="BE11" s="27"/>
      <c r="BF11" s="27"/>
      <c r="BG11" s="27"/>
      <c r="BH11" s="27"/>
      <c r="BI11" s="582">
        <f>SUM(BI13:BI113)/2</f>
        <v>2986012</v>
      </c>
      <c r="BJ11" s="582">
        <f>SUM(BJ13:BJ113)/2</f>
        <v>0</v>
      </c>
      <c r="BN11" s="220"/>
      <c r="BO11" s="245"/>
      <c r="BP11"/>
    </row>
    <row r="12" spans="1:69" ht="182.25" customHeight="1" thickBot="1">
      <c r="A12" s="959"/>
      <c r="B12" s="963"/>
      <c r="C12" s="964"/>
      <c r="D12" s="964"/>
      <c r="E12" s="964"/>
      <c r="F12" s="965"/>
      <c r="G12" s="967"/>
      <c r="H12" s="246" t="s">
        <v>161</v>
      </c>
      <c r="I12" s="246" t="s">
        <v>162</v>
      </c>
      <c r="J12" s="970"/>
      <c r="K12" s="972"/>
      <c r="L12" s="974"/>
      <c r="M12" s="502" t="s">
        <v>2454</v>
      </c>
      <c r="N12" s="506" t="s">
        <v>2455</v>
      </c>
      <c r="O12" s="942"/>
      <c r="P12" s="944"/>
      <c r="Q12" s="948"/>
      <c r="R12" s="949"/>
      <c r="S12" s="949"/>
      <c r="T12" s="949"/>
      <c r="U12" s="949"/>
      <c r="V12" s="949"/>
      <c r="W12" s="949"/>
      <c r="X12" s="949"/>
      <c r="Y12" s="949"/>
      <c r="Z12" s="949"/>
      <c r="AA12" s="949"/>
      <c r="AB12" s="950"/>
      <c r="AC12" s="952"/>
      <c r="AD12" s="954"/>
      <c r="AE12" s="247" t="s">
        <v>163</v>
      </c>
      <c r="AF12" s="248" t="s">
        <v>2465</v>
      </c>
      <c r="AG12" s="249" t="s">
        <v>164</v>
      </c>
      <c r="AH12" s="250" t="s">
        <v>165</v>
      </c>
      <c r="AI12" s="250" t="s">
        <v>2480</v>
      </c>
      <c r="AJ12" s="283" t="s">
        <v>2229</v>
      </c>
      <c r="AK12" s="285" t="s">
        <v>2481</v>
      </c>
      <c r="AL12" s="939" t="s">
        <v>166</v>
      </c>
      <c r="AM12" s="940"/>
      <c r="AN12" s="323"/>
      <c r="AO12" s="251" t="s">
        <v>167</v>
      </c>
      <c r="AP12" s="251" t="s">
        <v>168</v>
      </c>
      <c r="AQ12" s="252" t="s">
        <v>169</v>
      </c>
      <c r="AR12" s="251" t="s">
        <v>170</v>
      </c>
      <c r="AS12" s="251" t="s">
        <v>171</v>
      </c>
      <c r="AT12" s="251" t="s">
        <v>172</v>
      </c>
      <c r="AU12" s="253" t="s">
        <v>2187</v>
      </c>
      <c r="AV12" s="253" t="s">
        <v>173</v>
      </c>
      <c r="AW12" s="251" t="s">
        <v>174</v>
      </c>
      <c r="AX12" s="253" t="s">
        <v>2199</v>
      </c>
      <c r="AY12" s="253" t="s">
        <v>175</v>
      </c>
      <c r="AZ12" s="251" t="s">
        <v>176</v>
      </c>
      <c r="BA12" s="253" t="s">
        <v>177</v>
      </c>
      <c r="BB12" s="253" t="s">
        <v>178</v>
      </c>
      <c r="BC12" s="251" t="s">
        <v>179</v>
      </c>
      <c r="BD12" s="253" t="s">
        <v>180</v>
      </c>
      <c r="BE12" s="253" t="s">
        <v>2198</v>
      </c>
      <c r="BF12" s="254" t="s">
        <v>181</v>
      </c>
      <c r="BG12" s="577"/>
      <c r="BH12" s="251" t="s">
        <v>2510</v>
      </c>
      <c r="BI12" s="595" t="s">
        <v>2511</v>
      </c>
      <c r="BJ12" s="595" t="s">
        <v>2512</v>
      </c>
      <c r="BK12"/>
      <c r="BL12"/>
      <c r="BM12"/>
      <c r="BN12"/>
      <c r="BO12"/>
      <c r="BP12"/>
    </row>
    <row r="13" spans="1:69" ht="109.9" customHeight="1" thickBot="1">
      <c r="A13" s="303">
        <v>1</v>
      </c>
      <c r="B13" s="933" t="str">
        <f>IF(基本情報入力シート!B35="","",基本情報入力シート!B35)</f>
        <v>1234567899</v>
      </c>
      <c r="C13" s="934"/>
      <c r="D13" s="934"/>
      <c r="E13" s="934"/>
      <c r="F13" s="935"/>
      <c r="G13" s="304" t="str">
        <f>IF(基本情報入力シート!L35="", "", 基本情報入力シート!L35)</f>
        <v>東京都</v>
      </c>
      <c r="H13" s="304" t="str">
        <f>IF(基本情報入力シート!Q35="", "", 基本情報入力シート!Q35)</f>
        <v>東京都</v>
      </c>
      <c r="I13" s="304" t="str">
        <f>IF(基本情報入力シート!V35="", "", 基本情報入力シート!V35)</f>
        <v>三鷹市</v>
      </c>
      <c r="J13" s="304" t="str">
        <f>IF(基本情報入力シート!W35="", "", 基本情報入力シート!W35)</f>
        <v>障害福祉事業所名称０１</v>
      </c>
      <c r="K13" s="304" t="str">
        <f>IF(基本情報入力シート!Z35="", "", 基本情報入力シート!Z35)</f>
        <v>居宅介護</v>
      </c>
      <c r="L13" s="549">
        <f>IF(基本情報入力シート!AF35=0, "",基本情報入力シート!AF35)</f>
        <v>337280</v>
      </c>
      <c r="M13" s="572" t="s">
        <v>270</v>
      </c>
      <c r="N13" s="514">
        <f>IFERROR(VLOOKUP(K13,【参考】数式用!$A$2:$F$57,MATCH(M13,【参考】数式用!$C$3:$F$3,0)+2,0),"")</f>
        <v>0.40200000000000002</v>
      </c>
      <c r="O13" s="503" t="s">
        <v>270</v>
      </c>
      <c r="P13" s="546">
        <f>IFERROR(VLOOKUP(K13,【参考】数式用!$A$2:$F$57,MATCH(O13,【参考】数式用!$C$3:$F$3,0)+2,0),"")</f>
        <v>0.40200000000000002</v>
      </c>
      <c r="Q13" s="310" t="s">
        <v>118</v>
      </c>
      <c r="R13" s="308">
        <v>8</v>
      </c>
      <c r="S13" s="309" t="s">
        <v>183</v>
      </c>
      <c r="T13" s="308">
        <v>4</v>
      </c>
      <c r="U13" s="309" t="s">
        <v>184</v>
      </c>
      <c r="V13" s="308">
        <v>8</v>
      </c>
      <c r="W13" s="309" t="s">
        <v>183</v>
      </c>
      <c r="X13" s="308">
        <v>5</v>
      </c>
      <c r="Y13" s="309" t="s">
        <v>185</v>
      </c>
      <c r="Z13" s="309" t="s">
        <v>186</v>
      </c>
      <c r="AA13" s="309">
        <f>IF(R13&gt;=1,(V13*12+X13)-(R13*12+T13)+1,"")</f>
        <v>2</v>
      </c>
      <c r="AB13" s="305" t="s">
        <v>187</v>
      </c>
      <c r="AC13" s="306">
        <f>IFERROR(ROUNDDOWN(ROUND(L13*P13,0),0)*AA13,"")</f>
        <v>271174</v>
      </c>
      <c r="AD13" s="507">
        <f>IFERROR(ROUNDDOWN(ROUND(L13*(P13-N13),0),0)*AA13,"")</f>
        <v>0</v>
      </c>
      <c r="AE13" s="307">
        <f>IFERROR(ROUNDDOWN(ROUNDDOWN(ROUND(L13*VLOOKUP(K13,【参考】数式用!$A$4:$F$57,MATCH("処遇改善加算Ⅳ",【参考】数式用!$C$3:$F$3,0)+2,0),0),0)*AA13*0.5,0), "")</f>
        <v>92077</v>
      </c>
      <c r="AF13" s="318" t="s">
        <v>2209</v>
      </c>
      <c r="AG13" s="319" t="s">
        <v>2209</v>
      </c>
      <c r="AH13" s="319" t="s">
        <v>189</v>
      </c>
      <c r="AI13" s="318" t="s">
        <v>2209</v>
      </c>
      <c r="AJ13" s="320"/>
      <c r="AK13" s="326" t="s">
        <v>2479</v>
      </c>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48" t="str">
        <f>IFERROR(VLOOKUP(K13,【参考】数式用!$A$2:$N$57,14,FALSE),"")</f>
        <v>加算対象</v>
      </c>
      <c r="AP13" s="548" t="str">
        <f t="shared" ref="AP13:AP44" si="1">IF(AND(K13&lt;&gt;"",AO13="加算対象"),"N列に色付け","")</f>
        <v>N列に色付け</v>
      </c>
      <c r="AQ13" s="552" t="str">
        <f t="shared" ref="AQ13:AQ44" si="2">IF(AND(AE13&lt;&gt;0,AE13&lt;&gt;"",AO13="加算対象"),IF(AF13="○","入力済","未入力"),"")</f>
        <v>入力済</v>
      </c>
      <c r="AR13" s="531" t="str">
        <f t="shared" ref="AR13:AR44" si="3">IF(AND(O13&lt;&gt;"", AG13="",AO13="加算対象"), "未入力", "入力済")</f>
        <v>入力済</v>
      </c>
      <c r="AS13" s="548" t="str">
        <f>IF(AND(O13&lt;&gt;"", O13&lt;&gt;"処遇改善加算Ⅳ",AO13="加算対象"),"AH列に色付け","")</f>
        <v>AH列に色付け</v>
      </c>
      <c r="AT13" s="531" t="str">
        <f t="shared" ref="AT13:AT44" si="4">IF(AND(O13&lt;&gt;"", O13&lt;&gt;"処遇改善加算Ⅳ", AH13=""), "未入力", "入力済")</f>
        <v>入力済</v>
      </c>
      <c r="AU13" s="531" t="str">
        <f>IF(OR(O13="処遇改善加算Ⅰ",O13="処遇改善加算Ⅱ"),"対象","非対象")</f>
        <v>対象</v>
      </c>
      <c r="AV13" s="531">
        <f t="shared" ref="AV13:AV44" si="5">IF(AND(AO13="加算対象",O13&lt;&gt;"処遇改善加算Ⅲ",O13&lt;&gt;"処遇改善加算Ⅳ", O13&lt;&gt;"", AU13&lt;&gt;"対象外"), 1,"")</f>
        <v>1</v>
      </c>
      <c r="AW13" s="548" t="str">
        <f t="shared" ref="AW13:AW44" si="6">IF(AND(AV13=1, OR(AI13=0,AI13=""),AO13="加算対象"),"AH列に色付け","")</f>
        <v/>
      </c>
      <c r="AX13" s="548" t="str">
        <f>IF(AND(O13&lt;&gt;"", O13&lt;&gt;"処遇改善加算Ⅲ", O13&lt;&gt;"処遇改善加算Ⅳ",O13&lt;&gt;"処遇改善加算"), "対象", "")</f>
        <v>対象</v>
      </c>
      <c r="AY13" s="531" t="str">
        <f>IFERROR(VLOOKUP(K13,【参考】数式用!$AR$5:$AS$39,2, FALSE), "")</f>
        <v>居宅介護Ⅴ</v>
      </c>
      <c r="AZ13" s="548" t="str">
        <f>IF(AND(AO13="加算対象",O13="処遇改善加算Ⅰ"),"AJ列に色付け","")</f>
        <v/>
      </c>
      <c r="BA13" s="551" t="str">
        <f t="shared" ref="BA13:BA44" si="7">IF(AND(O13="処遇改善加算Ⅰ", AJ13=""), "未入力","入力済")</f>
        <v>入力済</v>
      </c>
      <c r="BB13" s="531" t="str">
        <f>IFERROR(VLOOKUP(K13,【参考】数式用!$AX$3:$AY$59, 2, FALSE), "")</f>
        <v>居宅介護R8</v>
      </c>
      <c r="BC13" s="548" t="str">
        <f>IF(COUNTIF(AG13:AI13,"*令和８年度特例要件を*")&gt;0,"AK列に色付け","")</f>
        <v>AK列に色付け</v>
      </c>
      <c r="BD13" s="551" t="str">
        <f t="shared" ref="BD13:BD44" si="8">IF(AND(COUNTIF(AG13:AI13,"*令和８年度特例要件を*")&gt;0,AK13=""), "未入力","入力済")</f>
        <v>入力済</v>
      </c>
      <c r="BE13" s="565" t="str">
        <f>IF(BC13="AK列に色付け","入力必要","")</f>
        <v>入力必要</v>
      </c>
      <c r="BF13" s="551" t="str">
        <f t="shared" ref="BF13:BF44" si="9">G13</f>
        <v>東京都</v>
      </c>
      <c r="BG13" s="577">
        <f>IF(COUNTIF(BE:BE,"*入力必要*"),1,0)</f>
        <v>1</v>
      </c>
      <c r="BH13" s="531"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Ⅱロ有り</v>
      </c>
      <c r="BI13" s="596">
        <f>IF(BH13="Ⅱロ有り",ROUNDDOWN(L13*VLOOKUP(K13,【参考】数式用!$A$4:$J$42,10,FALSE)*AA13,0),"")</f>
        <v>297480</v>
      </c>
      <c r="BJ13" s="596" t="str">
        <f>IF(BH13="Ⅱロなし",ROUNDDOWN(L13*VLOOKUP(K13,【参考】数式用!$A$4:$J$42,8,FALSE)*AA13,0),"")</f>
        <v/>
      </c>
      <c r="BK13"/>
      <c r="BL13"/>
      <c r="BM13"/>
      <c r="BN13" s="256"/>
      <c r="BO13"/>
      <c r="BP13"/>
    </row>
    <row r="14" spans="1:69" s="257" customFormat="1" ht="109.9" customHeight="1" thickBot="1">
      <c r="A14" s="303">
        <v>2</v>
      </c>
      <c r="B14" s="933" t="str">
        <f>IF(基本情報入力シート!B36="","",基本情報入力シート!B36)</f>
        <v>1234567900</v>
      </c>
      <c r="C14" s="934"/>
      <c r="D14" s="934"/>
      <c r="E14" s="934"/>
      <c r="F14" s="935"/>
      <c r="G14" s="304" t="str">
        <f>IF(基本情報入力シート!L36="", "", 基本情報入力シート!L36)</f>
        <v>東京都</v>
      </c>
      <c r="H14" s="304" t="str">
        <f>IF(基本情報入力シート!Q36="", "", 基本情報入力シート!Q36)</f>
        <v>東京都</v>
      </c>
      <c r="I14" s="304" t="str">
        <f>IF(基本情報入力シート!V36="", "", 基本情報入力シート!V36)</f>
        <v>府中市</v>
      </c>
      <c r="J14" s="304" t="str">
        <f>IF(基本情報入力シート!W36="", "", 基本情報入力シート!W36)</f>
        <v>障害福祉事業所名称０２</v>
      </c>
      <c r="K14" s="304" t="str">
        <f>IF(基本情報入力シート!Z36="", "", 基本情報入力シート!Z36)</f>
        <v>生活介護</v>
      </c>
      <c r="L14" s="549">
        <f>IF(基本情報入力シート!AF36=0, "",基本情報入力シート!AF36)</f>
        <v>4365540</v>
      </c>
      <c r="M14" s="573" t="s">
        <v>271</v>
      </c>
      <c r="N14" s="514">
        <f>IFERROR(VLOOKUP(K14,【参考】数式用!$A$2:$F$57,MATCH(M14,【参考】数式用!$C$3:$F$3,0)+2,0),"")</f>
        <v>5.4999999999999993E-2</v>
      </c>
      <c r="O14" s="503" t="s">
        <v>271</v>
      </c>
      <c r="P14" s="546">
        <f>IFERROR(VLOOKUP(K14,【参考】数式用!$A$2:$F$57,MATCH(O14,【参考】数式用!$C$3:$F$3,0)+2,0),"")</f>
        <v>5.4999999999999993E-2</v>
      </c>
      <c r="Q14" s="310" t="s">
        <v>118</v>
      </c>
      <c r="R14" s="308">
        <v>8</v>
      </c>
      <c r="S14" s="309" t="s">
        <v>183</v>
      </c>
      <c r="T14" s="308">
        <v>4</v>
      </c>
      <c r="U14" s="309" t="s">
        <v>184</v>
      </c>
      <c r="V14" s="308">
        <v>8</v>
      </c>
      <c r="W14" s="309" t="s">
        <v>183</v>
      </c>
      <c r="X14" s="308">
        <v>5</v>
      </c>
      <c r="Y14" s="309" t="s">
        <v>185</v>
      </c>
      <c r="Z14" s="309" t="s">
        <v>186</v>
      </c>
      <c r="AA14" s="309">
        <f>IF(R14&gt;=1,(V14*12+X14)-(R14*12+T14)+1,"")</f>
        <v>2</v>
      </c>
      <c r="AB14" s="305" t="s">
        <v>187</v>
      </c>
      <c r="AC14" s="306">
        <f t="shared" ref="AC14:AC77" si="10">IFERROR(ROUNDDOWN(ROUND(L14*P14,0),0)*AA14,"")</f>
        <v>480210</v>
      </c>
      <c r="AD14" s="507">
        <f t="shared" ref="AD14:AD77" si="11">IFERROR(ROUNDDOWN(ROUND(L14*(P14-N14),0),0)*AA14,"")</f>
        <v>0</v>
      </c>
      <c r="AE14" s="307">
        <f>IFERROR(ROUNDDOWN(ROUNDDOWN(ROUND(L14*VLOOKUP(K14,【参考】数式用!$A$4:$F$57,MATCH("処遇改善加算Ⅳ",【参考】数式用!$C$3:$F$3,0)+2,0),0),0)*AA14*0.5,0), "")</f>
        <v>240105</v>
      </c>
      <c r="AF14" s="318" t="s">
        <v>2209</v>
      </c>
      <c r="AG14" s="319" t="s">
        <v>2209</v>
      </c>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48" t="str">
        <f>IFERROR(VLOOKUP(K14,【参考】数式用!$A$2:$N$57,14,FALSE),"")</f>
        <v>加算対象</v>
      </c>
      <c r="AP14" s="548" t="str">
        <f t="shared" si="1"/>
        <v>N列に色付け</v>
      </c>
      <c r="AQ14" s="552" t="str">
        <f t="shared" si="2"/>
        <v>入力済</v>
      </c>
      <c r="AR14" s="531" t="str">
        <f t="shared" si="3"/>
        <v>入力済</v>
      </c>
      <c r="AS14" s="548" t="str">
        <f t="shared" ref="AS14:AS77" si="12">IF(AND(O14&lt;&gt;"", O14&lt;&gt;"処遇改善加算Ⅳ",AO14="加算対象"),"AH列に色付け","")</f>
        <v/>
      </c>
      <c r="AT14" s="531" t="str">
        <f t="shared" si="4"/>
        <v>入力済</v>
      </c>
      <c r="AU14" s="531" t="str">
        <f t="shared" ref="AU14:AU45" si="13">IF(OR(O14="処遇改善加算Ⅰ",O14="処遇改善加算Ⅱ"),"対象","")</f>
        <v/>
      </c>
      <c r="AV14" s="531" t="str">
        <f t="shared" si="5"/>
        <v/>
      </c>
      <c r="AW14" s="548" t="str">
        <f t="shared" si="6"/>
        <v/>
      </c>
      <c r="AX14" s="548" t="str">
        <f t="shared" ref="AX14:AX77" si="14">IF(AND(O14&lt;&gt;"", O14&lt;&gt;"処遇改善加算Ⅲ", O14&lt;&gt;"処遇改善加算Ⅳ",O14&lt;&gt;"処遇改善加算"), "対象", "")</f>
        <v/>
      </c>
      <c r="AY14" s="531" t="str">
        <f>IFERROR(VLOOKUP(K14,【参考】数式用!$AR$5:$AS$39,2, FALSE), "")</f>
        <v>生活介護V</v>
      </c>
      <c r="AZ14" s="548" t="str">
        <f t="shared" ref="AZ14:AZ77" si="15">IF(AND(AO14="加算対象",O14="処遇改善加算Ⅰ"),"AJ列に色付け","")</f>
        <v/>
      </c>
      <c r="BA14" s="551" t="str">
        <f t="shared" si="7"/>
        <v>入力済</v>
      </c>
      <c r="BB14" s="531" t="str">
        <f>IFERROR(VLOOKUP(K14,【参考】数式用!$AX$3:$AY$59, 2, FALSE), "")</f>
        <v>生活介護R8</v>
      </c>
      <c r="BC14" s="548" t="str">
        <f t="shared" ref="BC14:BC77" si="16">IF(COUNTIF(AG14:AI14,"*令和８年度特例要件を*")&gt;0,"AK列に色付け","")</f>
        <v/>
      </c>
      <c r="BD14" s="551" t="str">
        <f t="shared" si="8"/>
        <v>入力済</v>
      </c>
      <c r="BE14" s="565" t="str">
        <f t="shared" ref="BE14:BE77" si="17">IF(BC14="AK列に色付け","入力必要","")</f>
        <v/>
      </c>
      <c r="BF14" s="551" t="str">
        <f t="shared" si="9"/>
        <v>東京都</v>
      </c>
      <c r="BG14" s="577"/>
      <c r="BH14" s="531"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596" t="str">
        <f>IF(BH14="Ⅱロ有り",ROUNDDOWN(L14*VLOOKUP(K14,【参考】数式用!$A$4:$J$42,10,FALSE)*AA14,0),"")</f>
        <v/>
      </c>
      <c r="BJ14" s="596" t="str">
        <f>IF(BH14="Ⅱロなし",ROUNDDOWN(L14*VLOOKUP(K14,【参考】数式用!$A$4:$J$42,8,FALSE)*AA14,0),"")</f>
        <v/>
      </c>
      <c r="BK14" s="219"/>
      <c r="BL14" s="219"/>
      <c r="BM14" s="219"/>
      <c r="BN14" s="219"/>
      <c r="BO14" s="219"/>
      <c r="BP14" s="220"/>
      <c r="BQ14"/>
    </row>
    <row r="15" spans="1:69" s="257" customFormat="1" ht="109.9" customHeight="1" thickBot="1">
      <c r="A15" s="303">
        <v>3</v>
      </c>
      <c r="B15" s="933" t="str">
        <f>IF(基本情報入力シート!B37="","",基本情報入力シート!B37)</f>
        <v>1234567901</v>
      </c>
      <c r="C15" s="934"/>
      <c r="D15" s="934"/>
      <c r="E15" s="934"/>
      <c r="F15" s="935"/>
      <c r="G15" s="304" t="str">
        <f>IF(基本情報入力シート!L37="", "", 基本情報入力シート!L37)</f>
        <v>東京都</v>
      </c>
      <c r="H15" s="304" t="str">
        <f>IF(基本情報入力シート!Q37="", "", 基本情報入力シート!Q37)</f>
        <v>東京都</v>
      </c>
      <c r="I15" s="304" t="str">
        <f>IF(基本情報入力シート!V37="", "", 基本情報入力シート!V37)</f>
        <v>立川市</v>
      </c>
      <c r="J15" s="304" t="str">
        <f>IF(基本情報入力シート!W37="", "", 基本情報入力シート!W37)</f>
        <v>障害福祉事業所名称０３</v>
      </c>
      <c r="K15" s="304" t="str">
        <f>IF(基本情報入力シート!Z37="", "", 基本情報入力シート!Z37)</f>
        <v>就労継続支援Ｂ型</v>
      </c>
      <c r="L15" s="549">
        <f>IF(基本情報入力シート!AF37=0, "",基本情報入力シート!AF37)</f>
        <v>2121150</v>
      </c>
      <c r="M15" s="573" t="s">
        <v>182</v>
      </c>
      <c r="N15" s="514">
        <f>IFERROR(VLOOKUP(K15,【参考】数式用!$A$2:$F$57,MATCH(M15,【参考】数式用!$C$3:$F$3,0)+2,0),"")</f>
        <v>9.2999999999999999E-2</v>
      </c>
      <c r="O15" s="503" t="s">
        <v>182</v>
      </c>
      <c r="P15" s="546">
        <f>IFERROR(VLOOKUP(K15,【参考】数式用!$A$2:$F$57,MATCH(O15,【参考】数式用!$C$3:$F$3,0)+2,0),"")</f>
        <v>9.2999999999999999E-2</v>
      </c>
      <c r="Q15" s="310" t="s">
        <v>118</v>
      </c>
      <c r="R15" s="308">
        <v>8</v>
      </c>
      <c r="S15" s="309" t="s">
        <v>183</v>
      </c>
      <c r="T15" s="308">
        <v>4</v>
      </c>
      <c r="U15" s="309" t="s">
        <v>184</v>
      </c>
      <c r="V15" s="308">
        <v>8</v>
      </c>
      <c r="W15" s="309" t="s">
        <v>183</v>
      </c>
      <c r="X15" s="308">
        <v>5</v>
      </c>
      <c r="Y15" s="309" t="s">
        <v>185</v>
      </c>
      <c r="Z15" s="309" t="s">
        <v>186</v>
      </c>
      <c r="AA15" s="309">
        <f t="shared" ref="AA15:AA19" si="19">IF(R15&gt;=1,(V15*12+X15)-(R15*12+T15)+1,"")</f>
        <v>2</v>
      </c>
      <c r="AB15" s="305" t="s">
        <v>187</v>
      </c>
      <c r="AC15" s="306">
        <f t="shared" si="10"/>
        <v>394534</v>
      </c>
      <c r="AD15" s="507">
        <f t="shared" si="11"/>
        <v>0</v>
      </c>
      <c r="AE15" s="307">
        <f>IFERROR(ROUNDDOWN(ROUNDDOWN(ROUND(L15*VLOOKUP(K15,【参考】数式用!$A$4:$F$57,MATCH("処遇改善加算Ⅳ",【参考】数式用!$C$3:$F$3,0)+2,0),0),0)*AA15*0.5,0), "")</f>
        <v>131511</v>
      </c>
      <c r="AF15" s="318" t="s">
        <v>2209</v>
      </c>
      <c r="AG15" s="319" t="s">
        <v>2209</v>
      </c>
      <c r="AH15" s="319" t="s">
        <v>2209</v>
      </c>
      <c r="AI15" s="318" t="s">
        <v>2209</v>
      </c>
      <c r="AJ15" s="320" t="s">
        <v>2360</v>
      </c>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48" t="str">
        <f>IFERROR(VLOOKUP(K15,【参考】数式用!$A$2:$N$57,14,FALSE),"")</f>
        <v>加算対象</v>
      </c>
      <c r="AP15" s="548" t="str">
        <f t="shared" si="1"/>
        <v>N列に色付け</v>
      </c>
      <c r="AQ15" s="552" t="str">
        <f t="shared" si="2"/>
        <v>入力済</v>
      </c>
      <c r="AR15" s="531" t="str">
        <f t="shared" si="3"/>
        <v>入力済</v>
      </c>
      <c r="AS15" s="548" t="str">
        <f t="shared" si="12"/>
        <v>AH列に色付け</v>
      </c>
      <c r="AT15" s="531" t="str">
        <f t="shared" si="4"/>
        <v>入力済</v>
      </c>
      <c r="AU15" s="531" t="str">
        <f t="shared" si="13"/>
        <v>対象</v>
      </c>
      <c r="AV15" s="531">
        <f t="shared" si="5"/>
        <v>1</v>
      </c>
      <c r="AW15" s="548" t="str">
        <f t="shared" si="6"/>
        <v/>
      </c>
      <c r="AX15" s="548" t="str">
        <f t="shared" si="14"/>
        <v>対象</v>
      </c>
      <c r="AY15" s="531" t="str">
        <f>IFERROR(VLOOKUP(K15,【参考】数式用!$AR$5:$AS$39,2, FALSE), "")</f>
        <v>就労継続支援Ｂ型V</v>
      </c>
      <c r="AZ15" s="548" t="str">
        <f t="shared" si="15"/>
        <v>AJ列に色付け</v>
      </c>
      <c r="BA15" s="551" t="str">
        <f t="shared" si="7"/>
        <v>入力済</v>
      </c>
      <c r="BB15" s="531" t="str">
        <f>IFERROR(VLOOKUP(K15,【参考】数式用!$AX$3:$AY$59, 2, FALSE), "")</f>
        <v>就労継続支援Ｂ型R8</v>
      </c>
      <c r="BC15" s="548" t="str">
        <f t="shared" si="16"/>
        <v/>
      </c>
      <c r="BD15" s="551" t="str">
        <f t="shared" si="8"/>
        <v>入力済</v>
      </c>
      <c r="BE15" s="565" t="str">
        <f t="shared" si="17"/>
        <v/>
      </c>
      <c r="BF15" s="551" t="str">
        <f t="shared" si="9"/>
        <v>東京都</v>
      </c>
      <c r="BG15" s="577"/>
      <c r="BH15" s="531" t="str">
        <f t="shared" si="18"/>
        <v/>
      </c>
      <c r="BI15" s="596" t="str">
        <f>IF(BH15="Ⅱロ有り",ROUNDDOWN(L15*VLOOKUP(K15,【参考】数式用!$A$4:$J$42,10,FALSE)*AA15,0),"")</f>
        <v/>
      </c>
      <c r="BJ15" s="596" t="str">
        <f>IF(BH15="Ⅱロなし",ROUNDDOWN(L15*VLOOKUP(K15,【参考】数式用!$A$4:$J$42,8,FALSE)*AA15,0),"")</f>
        <v/>
      </c>
      <c r="BK15" s="219"/>
      <c r="BL15" s="219"/>
      <c r="BM15" s="219"/>
      <c r="BN15" s="219"/>
      <c r="BO15" s="219"/>
      <c r="BP15" s="220"/>
      <c r="BQ15"/>
    </row>
    <row r="16" spans="1:69" s="257" customFormat="1" ht="109.9" customHeight="1" thickBot="1">
      <c r="A16" s="303">
        <v>3</v>
      </c>
      <c r="B16" s="933" t="str">
        <f>IF(基本情報入力シート!B38="","",基本情報入力シート!B38)</f>
        <v>1234567902</v>
      </c>
      <c r="C16" s="934"/>
      <c r="D16" s="934"/>
      <c r="E16" s="934"/>
      <c r="F16" s="935"/>
      <c r="G16" s="304" t="str">
        <f>IF(基本情報入力シート!L38="", "", 基本情報入力シート!L38)</f>
        <v>東京都</v>
      </c>
      <c r="H16" s="304" t="str">
        <f>IF(基本情報入力シート!Q38="", "", 基本情報入力シート!Q38)</f>
        <v>東京都</v>
      </c>
      <c r="I16" s="304" t="str">
        <f>IF(基本情報入力シート!V38="", "", 基本情報入力シート!V38)</f>
        <v>小金井市</v>
      </c>
      <c r="J16" s="304" t="str">
        <f>IF(基本情報入力シート!W38="", "", 基本情報入力シート!W38)</f>
        <v>障害福祉事業所名称０４</v>
      </c>
      <c r="K16" s="304" t="str">
        <f>IF(基本情報入力シート!Z38="", "", 基本情報入力シート!Z38)</f>
        <v>自立訓練（生活訓練）</v>
      </c>
      <c r="L16" s="549">
        <f>IF(基本情報入力シート!AF38=0, "",基本情報入力シート!AF38)</f>
        <v>6219600</v>
      </c>
      <c r="M16" s="573" t="s">
        <v>271</v>
      </c>
      <c r="N16" s="514">
        <f>IFERROR(VLOOKUP(K16,【参考】数式用!$A$2:$F$57,MATCH(M16,【参考】数式用!$C$3:$F$3,0)+2,0),"")</f>
        <v>0.08</v>
      </c>
      <c r="O16" s="503" t="s">
        <v>271</v>
      </c>
      <c r="P16" s="546">
        <f>IFERROR(VLOOKUP(K16,【参考】数式用!$A$2:$F$57,MATCH(O16,【参考】数式用!$C$3:$F$3,0)+2,0),"")</f>
        <v>0.08</v>
      </c>
      <c r="Q16" s="310" t="s">
        <v>118</v>
      </c>
      <c r="R16" s="308">
        <v>8</v>
      </c>
      <c r="S16" s="309" t="s">
        <v>183</v>
      </c>
      <c r="T16" s="308">
        <v>4</v>
      </c>
      <c r="U16" s="309" t="s">
        <v>184</v>
      </c>
      <c r="V16" s="308">
        <v>8</v>
      </c>
      <c r="W16" s="309" t="s">
        <v>183</v>
      </c>
      <c r="X16" s="308">
        <v>5</v>
      </c>
      <c r="Y16" s="309" t="s">
        <v>185</v>
      </c>
      <c r="Z16" s="309" t="s">
        <v>186</v>
      </c>
      <c r="AA16" s="309">
        <f t="shared" si="19"/>
        <v>2</v>
      </c>
      <c r="AB16" s="305" t="s">
        <v>187</v>
      </c>
      <c r="AC16" s="306">
        <f t="shared" si="10"/>
        <v>995136</v>
      </c>
      <c r="AD16" s="507">
        <f t="shared" si="11"/>
        <v>0</v>
      </c>
      <c r="AE16" s="307">
        <f>IFERROR(ROUNDDOWN(ROUNDDOWN(ROUND(L16*VLOOKUP(K16,【参考】数式用!$A$4:$F$57,MATCH("処遇改善加算Ⅳ",【参考】数式用!$C$3:$F$3,0)+2,0),0),0)*AA16*0.5,0), "")</f>
        <v>497568</v>
      </c>
      <c r="AF16" s="318" t="s">
        <v>2209</v>
      </c>
      <c r="AG16" s="319" t="s">
        <v>189</v>
      </c>
      <c r="AH16" s="319"/>
      <c r="AI16" s="318"/>
      <c r="AJ16" s="320"/>
      <c r="AK16" s="326" t="s">
        <v>2526</v>
      </c>
      <c r="AL16" s="324" t="str">
        <f t="shared" si="0"/>
        <v/>
      </c>
      <c r="AM16" s="325" t="str">
        <f t="shared" si="20"/>
        <v/>
      </c>
      <c r="AN16" s="255"/>
      <c r="AO16" s="548" t="str">
        <f>IFERROR(VLOOKUP(K16,【参考】数式用!$A$2:$N$57,14,FALSE),"")</f>
        <v>加算対象</v>
      </c>
      <c r="AP16" s="548" t="str">
        <f t="shared" si="1"/>
        <v>N列に色付け</v>
      </c>
      <c r="AQ16" s="552" t="str">
        <f t="shared" si="2"/>
        <v>入力済</v>
      </c>
      <c r="AR16" s="531" t="str">
        <f t="shared" si="3"/>
        <v>入力済</v>
      </c>
      <c r="AS16" s="548" t="str">
        <f t="shared" si="12"/>
        <v/>
      </c>
      <c r="AT16" s="531" t="str">
        <f t="shared" si="4"/>
        <v>入力済</v>
      </c>
      <c r="AU16" s="531" t="str">
        <f t="shared" si="13"/>
        <v/>
      </c>
      <c r="AV16" s="531" t="str">
        <f t="shared" si="5"/>
        <v/>
      </c>
      <c r="AW16" s="548" t="str">
        <f t="shared" si="6"/>
        <v/>
      </c>
      <c r="AX16" s="548" t="str">
        <f t="shared" si="14"/>
        <v/>
      </c>
      <c r="AY16" s="531" t="str">
        <f>IFERROR(VLOOKUP(K16,【参考】数式用!$AR$5:$AS$39,2, FALSE), "")</f>
        <v>自立訓練_生活訓練_V</v>
      </c>
      <c r="AZ16" s="548" t="str">
        <f t="shared" si="15"/>
        <v/>
      </c>
      <c r="BA16" s="551" t="str">
        <f t="shared" si="7"/>
        <v>入力済</v>
      </c>
      <c r="BB16" s="531" t="str">
        <f>IFERROR(VLOOKUP(K16,【参考】数式用!$AX$3:$AY$59, 2, FALSE), "")</f>
        <v>自立訓練_生活訓練_R8</v>
      </c>
      <c r="BC16" s="548" t="str">
        <f t="shared" si="16"/>
        <v>AK列に色付け</v>
      </c>
      <c r="BD16" s="551" t="str">
        <f t="shared" si="8"/>
        <v>入力済</v>
      </c>
      <c r="BE16" s="565" t="str">
        <f t="shared" si="17"/>
        <v>入力必要</v>
      </c>
      <c r="BF16" s="551" t="str">
        <f t="shared" si="9"/>
        <v>東京都</v>
      </c>
      <c r="BG16" s="577"/>
      <c r="BH16" s="531" t="str">
        <f t="shared" si="18"/>
        <v>Ⅱロ有り</v>
      </c>
      <c r="BI16" s="596">
        <f>IF(BH16="Ⅱロ有り",ROUNDDOWN(L16*VLOOKUP(K16,【参考】数式用!$A$4:$J$42,10,FALSE)*AA16,0),"")</f>
        <v>2077346</v>
      </c>
      <c r="BJ16" s="596" t="str">
        <f>IF(BH16="Ⅱロなし",ROUNDDOWN(L16*VLOOKUP(K16,【参考】数式用!$A$4:$J$42,8,FALSE)*AA16,0),"")</f>
        <v/>
      </c>
      <c r="BK16" s="219"/>
      <c r="BL16" s="219"/>
      <c r="BM16" s="219"/>
      <c r="BN16" s="219"/>
      <c r="BO16" s="219"/>
      <c r="BP16" s="220"/>
      <c r="BQ16"/>
    </row>
    <row r="17" spans="1:69" s="257" customFormat="1" ht="109.9" customHeight="1" thickBot="1">
      <c r="A17" s="303">
        <v>4</v>
      </c>
      <c r="B17" s="933" t="str">
        <f>IF(基本情報入力シート!B39="","",基本情報入力シート!B39)</f>
        <v>1234567903</v>
      </c>
      <c r="C17" s="934"/>
      <c r="D17" s="934"/>
      <c r="E17" s="934"/>
      <c r="F17" s="935"/>
      <c r="G17" s="304" t="str">
        <f>IF(基本情報入力シート!L39="", "", 基本情報入力シート!L39)</f>
        <v>東京都</v>
      </c>
      <c r="H17" s="304" t="str">
        <f>IF(基本情報入力シート!Q39="", "", 基本情報入力シート!Q39)</f>
        <v>東京都</v>
      </c>
      <c r="I17" s="304" t="str">
        <f>IF(基本情報入力シート!V39="", "", 基本情報入力シート!V39)</f>
        <v>国分寺市</v>
      </c>
      <c r="J17" s="304" t="str">
        <f>IF(基本情報入力シート!W39="", "", 基本情報入力シート!W39)</f>
        <v>障害福祉事業所名称０５</v>
      </c>
      <c r="K17" s="304" t="str">
        <f>IF(基本情報入力シート!Z39="", "", 基本情報入力シート!Z39)</f>
        <v>療養介護</v>
      </c>
      <c r="L17" s="549">
        <f>IF(基本情報入力シート!AF39=0, "",基本情報入力シート!AF39)</f>
        <v>10642600</v>
      </c>
      <c r="M17" s="573" t="s">
        <v>196</v>
      </c>
      <c r="N17" s="514">
        <f>IFERROR(VLOOKUP(K17,【参考】数式用!$A$2:$F$57,MATCH(M17,【参考】数式用!$C$3:$F$3,0)+2,0),"")</f>
        <v>0.11599999999999999</v>
      </c>
      <c r="O17" s="503" t="s">
        <v>196</v>
      </c>
      <c r="P17" s="546">
        <f>IFERROR(VLOOKUP(K17,【参考】数式用!$A$2:$F$57,MATCH(O17,【参考】数式用!$C$3:$F$3,0)+2,0),"")</f>
        <v>0.11599999999999999</v>
      </c>
      <c r="Q17" s="310" t="s">
        <v>118</v>
      </c>
      <c r="R17" s="308">
        <v>8</v>
      </c>
      <c r="S17" s="309" t="s">
        <v>183</v>
      </c>
      <c r="T17" s="308">
        <v>4</v>
      </c>
      <c r="U17" s="309" t="s">
        <v>184</v>
      </c>
      <c r="V17" s="308">
        <v>8</v>
      </c>
      <c r="W17" s="309" t="s">
        <v>183</v>
      </c>
      <c r="X17" s="308">
        <v>5</v>
      </c>
      <c r="Y17" s="309" t="s">
        <v>120</v>
      </c>
      <c r="Z17" s="309" t="s">
        <v>186</v>
      </c>
      <c r="AA17" s="309">
        <f t="shared" si="19"/>
        <v>2</v>
      </c>
      <c r="AB17" s="305" t="s">
        <v>187</v>
      </c>
      <c r="AC17" s="306">
        <f t="shared" si="10"/>
        <v>2469084</v>
      </c>
      <c r="AD17" s="507">
        <f t="shared" si="11"/>
        <v>0</v>
      </c>
      <c r="AE17" s="307">
        <f>IFERROR(ROUNDDOWN(ROUNDDOWN(ROUND(L17*VLOOKUP(K17,【参考】数式用!$A$4:$F$57,MATCH("処遇改善加算Ⅳ",【参考】数式用!$C$3:$F$3,0)+2,0),0),0)*AA17*0.5,0), "")</f>
        <v>1053617</v>
      </c>
      <c r="AF17" s="318" t="s">
        <v>2209</v>
      </c>
      <c r="AG17" s="319" t="s">
        <v>2209</v>
      </c>
      <c r="AH17" s="319" t="s">
        <v>189</v>
      </c>
      <c r="AI17" s="318"/>
      <c r="AJ17" s="320"/>
      <c r="AK17" s="326" t="s">
        <v>2462</v>
      </c>
      <c r="AL17" s="324" t="str">
        <f t="shared" si="0"/>
        <v/>
      </c>
      <c r="AM17" s="325" t="str">
        <f t="shared" si="20"/>
        <v/>
      </c>
      <c r="AN17" s="255"/>
      <c r="AO17" s="548" t="str">
        <f>IFERROR(VLOOKUP(K17,【参考】数式用!$A$2:$N$57,14,FALSE),"")</f>
        <v>加算対象</v>
      </c>
      <c r="AP17" s="548" t="str">
        <f t="shared" si="1"/>
        <v>N列に色付け</v>
      </c>
      <c r="AQ17" s="552" t="str">
        <f t="shared" si="2"/>
        <v>入力済</v>
      </c>
      <c r="AR17" s="531" t="str">
        <f t="shared" si="3"/>
        <v>入力済</v>
      </c>
      <c r="AS17" s="548" t="str">
        <f t="shared" si="12"/>
        <v>AH列に色付け</v>
      </c>
      <c r="AT17" s="531" t="str">
        <f t="shared" si="4"/>
        <v>入力済</v>
      </c>
      <c r="AU17" s="531" t="str">
        <f t="shared" si="13"/>
        <v/>
      </c>
      <c r="AV17" s="531" t="str">
        <f t="shared" si="5"/>
        <v/>
      </c>
      <c r="AW17" s="548" t="str">
        <f t="shared" si="6"/>
        <v/>
      </c>
      <c r="AX17" s="548" t="str">
        <f t="shared" si="14"/>
        <v/>
      </c>
      <c r="AY17" s="531" t="str">
        <f>IFERROR(VLOOKUP(K17,【参考】数式用!$AR$5:$AS$39,2, FALSE), "")</f>
        <v>療養介護V</v>
      </c>
      <c r="AZ17" s="548" t="str">
        <f t="shared" si="15"/>
        <v/>
      </c>
      <c r="BA17" s="551" t="str">
        <f t="shared" si="7"/>
        <v>入力済</v>
      </c>
      <c r="BB17" s="531" t="str">
        <f>IFERROR(VLOOKUP(K17,【参考】数式用!$AX$3:$AY$59, 2, FALSE), "")</f>
        <v>療養介護R8</v>
      </c>
      <c r="BC17" s="548" t="str">
        <f t="shared" si="16"/>
        <v>AK列に色付け</v>
      </c>
      <c r="BD17" s="551" t="str">
        <f t="shared" si="8"/>
        <v>入力済</v>
      </c>
      <c r="BE17" s="565" t="str">
        <f t="shared" si="17"/>
        <v>入力必要</v>
      </c>
      <c r="BF17" s="551" t="str">
        <f t="shared" si="9"/>
        <v>東京都</v>
      </c>
      <c r="BG17" s="577"/>
      <c r="BH17" s="531" t="str">
        <f t="shared" si="18"/>
        <v>Ⅱロ有り</v>
      </c>
      <c r="BI17" s="596">
        <f>IF(BH17="Ⅱロ有り",ROUNDDOWN(L17*VLOOKUP(K17,【参考】数式用!$A$4:$J$42,10,FALSE)*AA17,0),"")</f>
        <v>3597198</v>
      </c>
      <c r="BJ17" s="596" t="str">
        <f>IF(BH17="Ⅱロなし",ROUNDDOWN(L17*VLOOKUP(K17,【参考】数式用!$A$4:$J$42,8,FALSE)*AA17,0),"")</f>
        <v/>
      </c>
      <c r="BK17" s="219"/>
      <c r="BL17" s="219"/>
      <c r="BM17" s="219"/>
      <c r="BN17" s="219"/>
      <c r="BO17" s="219"/>
      <c r="BP17" s="220"/>
      <c r="BQ17"/>
    </row>
    <row r="18" spans="1:69" s="257" customFormat="1" ht="109.9" customHeight="1" thickBot="1">
      <c r="A18" s="303">
        <v>5</v>
      </c>
      <c r="B18" s="933" t="str">
        <f>IF(基本情報入力シート!B40="","",基本情報入力シート!B40)</f>
        <v>1234567904</v>
      </c>
      <c r="C18" s="934"/>
      <c r="D18" s="934"/>
      <c r="E18" s="934"/>
      <c r="F18" s="935"/>
      <c r="G18" s="304" t="str">
        <f>IF(基本情報入力シート!L40="", "", 基本情報入力シート!L40)</f>
        <v>東京都</v>
      </c>
      <c r="H18" s="304" t="str">
        <f>IF(基本情報入力シート!Q40="", "", 基本情報入力シート!Q40)</f>
        <v>東京都</v>
      </c>
      <c r="I18" s="304" t="str">
        <f>IF(基本情報入力シート!V40="", "", 基本情報入力シート!V40)</f>
        <v>杉並区</v>
      </c>
      <c r="J18" s="304" t="str">
        <f>IF(基本情報入力シート!W40="", "", 基本情報入力シート!W40)</f>
        <v>障害福祉事業所名称０６</v>
      </c>
      <c r="K18" s="304" t="str">
        <f>IF(基本情報入力シート!Z40="", "", 基本情報入力シート!Z40)</f>
        <v>計画相談支援</v>
      </c>
      <c r="L18" s="549">
        <f>IF(基本情報入力シート!AF40=0, "",基本情報入力シート!AF40)</f>
        <v>474500</v>
      </c>
      <c r="M18" s="573"/>
      <c r="N18" s="514" t="str">
        <f>IFERROR(VLOOKUP(K18,【参考】数式用!$A$2:$F$57,MATCH(M18,【参考】数式用!$C$3:$F$3,0)+2,0),"")</f>
        <v/>
      </c>
      <c r="O18" s="503"/>
      <c r="P18" s="546" t="str">
        <f>IFERROR(VLOOKUP(K18,【参考】数式用!$A$2:$F$57,MATCH(O18,【参考】数式用!$C$3:$F$3,0)+2,0),"")</f>
        <v/>
      </c>
      <c r="Q18" s="310" t="s">
        <v>118</v>
      </c>
      <c r="R18" s="308"/>
      <c r="S18" s="309" t="s">
        <v>183</v>
      </c>
      <c r="T18" s="308"/>
      <c r="U18" s="309" t="s">
        <v>184</v>
      </c>
      <c r="V18" s="308"/>
      <c r="W18" s="309" t="s">
        <v>183</v>
      </c>
      <c r="X18" s="308"/>
      <c r="Y18" s="309" t="s">
        <v>120</v>
      </c>
      <c r="Z18" s="309" t="s">
        <v>186</v>
      </c>
      <c r="AA18" s="309" t="str">
        <f t="shared" si="19"/>
        <v/>
      </c>
      <c r="AB18" s="305" t="s">
        <v>187</v>
      </c>
      <c r="AC18" s="306" t="str">
        <f t="shared" si="10"/>
        <v/>
      </c>
      <c r="AD18" s="507"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48" t="str">
        <f>IFERROR(VLOOKUP(K18,【参考】数式用!$A$2:$N$57,14,FALSE),"")</f>
        <v>加算対象外</v>
      </c>
      <c r="AP18" s="548" t="str">
        <f t="shared" si="1"/>
        <v/>
      </c>
      <c r="AQ18" s="552" t="str">
        <f t="shared" si="2"/>
        <v/>
      </c>
      <c r="AR18" s="531" t="str">
        <f t="shared" si="3"/>
        <v>入力済</v>
      </c>
      <c r="AS18" s="548" t="str">
        <f t="shared" si="12"/>
        <v/>
      </c>
      <c r="AT18" s="531" t="str">
        <f t="shared" si="4"/>
        <v>入力済</v>
      </c>
      <c r="AU18" s="531" t="str">
        <f t="shared" si="13"/>
        <v/>
      </c>
      <c r="AV18" s="531" t="str">
        <f t="shared" si="5"/>
        <v/>
      </c>
      <c r="AW18" s="548" t="str">
        <f t="shared" si="6"/>
        <v/>
      </c>
      <c r="AX18" s="548" t="str">
        <f t="shared" si="14"/>
        <v/>
      </c>
      <c r="AY18" s="531" t="str">
        <f>IFERROR(VLOOKUP(K18,【参考】数式用!$AR$5:$AS$39,2, FALSE), "")</f>
        <v/>
      </c>
      <c r="AZ18" s="548" t="str">
        <f t="shared" si="15"/>
        <v/>
      </c>
      <c r="BA18" s="551" t="str">
        <f t="shared" si="7"/>
        <v>入力済</v>
      </c>
      <c r="BB18" s="531" t="str">
        <f>IFERROR(VLOOKUP(K18,【参考】数式用!$AX$3:$AY$59, 2, FALSE), "")</f>
        <v>計画相談支援R8</v>
      </c>
      <c r="BC18" s="548" t="str">
        <f t="shared" si="16"/>
        <v/>
      </c>
      <c r="BD18" s="551" t="str">
        <f t="shared" si="8"/>
        <v>入力済</v>
      </c>
      <c r="BE18" s="565" t="str">
        <f t="shared" si="17"/>
        <v/>
      </c>
      <c r="BF18" s="551" t="str">
        <f t="shared" si="9"/>
        <v>東京都</v>
      </c>
      <c r="BG18" s="592"/>
      <c r="BH18" s="531" t="str">
        <f t="shared" si="18"/>
        <v/>
      </c>
      <c r="BI18" s="596" t="str">
        <f>IF(BH18="Ⅱロ有り",ROUNDDOWN(L18*VLOOKUP(K18,【参考】数式用!$A$4:$J$42,10,FALSE)*AA18,0),"")</f>
        <v/>
      </c>
      <c r="BJ18" s="596" t="str">
        <f>IF(BH18="Ⅱロなし",ROUNDDOWN(L18*VLOOKUP(K18,【参考】数式用!$A$4:$J$42,8,FALSE)*AA18,0),"")</f>
        <v/>
      </c>
    </row>
    <row r="19" spans="1:69" s="257" customFormat="1" ht="109.9" customHeight="1" thickBot="1">
      <c r="A19" s="303">
        <v>6</v>
      </c>
      <c r="B19" s="933" t="str">
        <f>IF(基本情報入力シート!B41="","",基本情報入力シート!B41)</f>
        <v>1234567905</v>
      </c>
      <c r="C19" s="934"/>
      <c r="D19" s="934"/>
      <c r="E19" s="934"/>
      <c r="F19" s="935"/>
      <c r="G19" s="304" t="str">
        <f>IF(基本情報入力シート!L41="", "", 基本情報入力シート!L41)</f>
        <v>東京都</v>
      </c>
      <c r="H19" s="304" t="str">
        <f>IF(基本情報入力シート!Q41="", "", 基本情報入力シート!Q41)</f>
        <v>東京都</v>
      </c>
      <c r="I19" s="304" t="str">
        <f>IF(基本情報入力シート!V41="", "", 基本情報入力シート!V41)</f>
        <v>中野区</v>
      </c>
      <c r="J19" s="304" t="str">
        <f>IF(基本情報入力シート!W41="", "", 基本情報入力シート!W41)</f>
        <v>障害福祉事業所名称０７</v>
      </c>
      <c r="K19" s="304" t="str">
        <f>IF(基本情報入力シート!Z41="", "", 基本情報入力シート!Z41)</f>
        <v>地域相談支援（地域移行支援）</v>
      </c>
      <c r="L19" s="549">
        <f>IF(基本情報入力シート!AF41=0, "",基本情報入力シート!AF41)</f>
        <v>379600</v>
      </c>
      <c r="M19" s="573"/>
      <c r="N19" s="514" t="str">
        <f>IFERROR(VLOOKUP(K19,【参考】数式用!$A$2:$F$57,MATCH(M19,【参考】数式用!$C$3:$F$3,0)+2,0),"")</f>
        <v/>
      </c>
      <c r="O19" s="503"/>
      <c r="P19" s="546" t="str">
        <f>IFERROR(VLOOKUP(K19,【参考】数式用!$A$2:$F$57,MATCH(O19,【参考】数式用!$C$3:$F$3,0)+2,0),"")</f>
        <v/>
      </c>
      <c r="Q19" s="310" t="s">
        <v>118</v>
      </c>
      <c r="R19" s="308"/>
      <c r="S19" s="309" t="s">
        <v>183</v>
      </c>
      <c r="T19" s="308"/>
      <c r="U19" s="309" t="s">
        <v>184</v>
      </c>
      <c r="V19" s="308"/>
      <c r="W19" s="309" t="s">
        <v>183</v>
      </c>
      <c r="X19" s="308"/>
      <c r="Y19" s="309" t="s">
        <v>185</v>
      </c>
      <c r="Z19" s="309" t="s">
        <v>186</v>
      </c>
      <c r="AA19" s="309" t="str">
        <f t="shared" si="19"/>
        <v/>
      </c>
      <c r="AB19" s="305" t="s">
        <v>187</v>
      </c>
      <c r="AC19" s="306" t="str">
        <f t="shared" si="10"/>
        <v/>
      </c>
      <c r="AD19" s="507"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48" t="str">
        <f>IFERROR(VLOOKUP(K19,【参考】数式用!$A$2:$N$57,14,FALSE),"")</f>
        <v>加算対象外</v>
      </c>
      <c r="AP19" s="548" t="str">
        <f t="shared" si="1"/>
        <v/>
      </c>
      <c r="AQ19" s="552" t="str">
        <f t="shared" si="2"/>
        <v/>
      </c>
      <c r="AR19" s="531" t="str">
        <f t="shared" si="3"/>
        <v>入力済</v>
      </c>
      <c r="AS19" s="548" t="str">
        <f t="shared" si="12"/>
        <v/>
      </c>
      <c r="AT19" s="531" t="str">
        <f t="shared" si="4"/>
        <v>入力済</v>
      </c>
      <c r="AU19" s="531" t="str">
        <f t="shared" si="13"/>
        <v/>
      </c>
      <c r="AV19" s="531" t="str">
        <f t="shared" si="5"/>
        <v/>
      </c>
      <c r="AW19" s="548" t="str">
        <f t="shared" si="6"/>
        <v/>
      </c>
      <c r="AX19" s="548" t="str">
        <f t="shared" si="14"/>
        <v/>
      </c>
      <c r="AY19" s="531" t="str">
        <f>IFERROR(VLOOKUP(K19,【参考】数式用!$AR$5:$AS$39,2, FALSE), "")</f>
        <v/>
      </c>
      <c r="AZ19" s="548" t="str">
        <f t="shared" si="15"/>
        <v/>
      </c>
      <c r="BA19" s="551" t="str">
        <f t="shared" si="7"/>
        <v>入力済</v>
      </c>
      <c r="BB19" s="531" t="str">
        <f>IFERROR(VLOOKUP(K19,【参考】数式用!$AX$3:$AY$59, 2, FALSE), "")</f>
        <v>地域相談支援_地域移行支援_R8</v>
      </c>
      <c r="BC19" s="548" t="str">
        <f t="shared" si="16"/>
        <v/>
      </c>
      <c r="BD19" s="551" t="str">
        <f t="shared" si="8"/>
        <v>入力済</v>
      </c>
      <c r="BE19" s="565" t="str">
        <f t="shared" si="17"/>
        <v/>
      </c>
      <c r="BF19" s="551" t="str">
        <f t="shared" si="9"/>
        <v>東京都</v>
      </c>
      <c r="BG19" s="592"/>
      <c r="BH19" s="531" t="str">
        <f t="shared" si="18"/>
        <v/>
      </c>
      <c r="BI19" s="596" t="str">
        <f>IF(BH19="Ⅱロ有り",ROUNDDOWN(L19*VLOOKUP(K19,【参考】数式用!$A$4:$J$42,10,FALSE)*AA19,0),"")</f>
        <v/>
      </c>
      <c r="BJ19" s="596" t="str">
        <f>IF(BH19="Ⅱロなし",ROUNDDOWN(L19*VLOOKUP(K19,【参考】数式用!$A$4:$J$42,8,FALSE)*AA19,0),"")</f>
        <v/>
      </c>
    </row>
    <row r="20" spans="1:69" s="257" customFormat="1" ht="109.9" customHeight="1" thickBot="1">
      <c r="A20" s="303">
        <v>7</v>
      </c>
      <c r="B20" s="933" t="str">
        <f>IF(基本情報入力シート!B42="","",基本情報入力シート!B42)</f>
        <v>1234567906</v>
      </c>
      <c r="C20" s="934"/>
      <c r="D20" s="934"/>
      <c r="E20" s="934"/>
      <c r="F20" s="935"/>
      <c r="G20" s="304" t="str">
        <f>IF(基本情報入力シート!L42="", "", 基本情報入力シート!L42)</f>
        <v>東京都</v>
      </c>
      <c r="H20" s="304" t="str">
        <f>IF(基本情報入力シート!Q42="", "", 基本情報入力シート!Q42)</f>
        <v>東京都</v>
      </c>
      <c r="I20" s="304" t="str">
        <f>IF(基本情報入力シート!V42="", "", 基本情報入力シート!V42)</f>
        <v>新宿区</v>
      </c>
      <c r="J20" s="304" t="str">
        <f>IF(基本情報入力シート!W42="", "", 基本情報入力シート!W42)</f>
        <v>障害福祉事業所名称０８</v>
      </c>
      <c r="K20" s="304" t="str">
        <f>IF(基本情報入力シート!Z42="", "", 基本情報入力シート!Z42)</f>
        <v>障害者支援施設：生活介護</v>
      </c>
      <c r="L20" s="549">
        <f>IF(基本情報入力シート!AF42=0, "",基本情報入力シート!AF42)</f>
        <v>480000</v>
      </c>
      <c r="M20" s="573" t="s">
        <v>196</v>
      </c>
      <c r="N20" s="514">
        <f>IFERROR(VLOOKUP(K20,【参考】数式用!$A$2:$F$57,MATCH(M20,【参考】数式用!$C$3:$F$3,0)+2,0),"")</f>
        <v>8.4000000000000005E-2</v>
      </c>
      <c r="O20" s="503" t="s">
        <v>196</v>
      </c>
      <c r="P20" s="546">
        <f>IFERROR(VLOOKUP(K20,【参考】数式用!$A$2:$F$57,MATCH(O20,【参考】数式用!$C$3:$F$3,0)+2,0),"")</f>
        <v>8.4000000000000005E-2</v>
      </c>
      <c r="Q20" s="310" t="s">
        <v>118</v>
      </c>
      <c r="R20" s="308">
        <v>8</v>
      </c>
      <c r="S20" s="309" t="s">
        <v>183</v>
      </c>
      <c r="T20" s="308">
        <v>4</v>
      </c>
      <c r="U20" s="309" t="s">
        <v>184</v>
      </c>
      <c r="V20" s="308">
        <v>8</v>
      </c>
      <c r="W20" s="309" t="s">
        <v>183</v>
      </c>
      <c r="X20" s="308">
        <v>5</v>
      </c>
      <c r="Y20" s="309" t="s">
        <v>185</v>
      </c>
      <c r="Z20" s="309" t="s">
        <v>186</v>
      </c>
      <c r="AA20" s="309">
        <f t="shared" ref="AA20:AA83" si="21">IF(R20&gt;=1,(V20*12+X20)-(R20*12+T20)+1,"")</f>
        <v>2</v>
      </c>
      <c r="AB20" s="305" t="s">
        <v>187</v>
      </c>
      <c r="AC20" s="306">
        <f t="shared" si="10"/>
        <v>80640</v>
      </c>
      <c r="AD20" s="507">
        <f t="shared" si="11"/>
        <v>0</v>
      </c>
      <c r="AE20" s="307">
        <f>IFERROR(ROUNDDOWN(ROUNDDOWN(ROUND(L20*VLOOKUP(K20,【参考】数式用!$A$4:$F$57,MATCH("処遇改善加算Ⅳ",【参考】数式用!$C$3:$F$3,0)+2,0),0),0)*AA20*0.5,0), "")</f>
        <v>32160</v>
      </c>
      <c r="AF20" s="318" t="s">
        <v>2209</v>
      </c>
      <c r="AG20" s="319" t="s">
        <v>2209</v>
      </c>
      <c r="AH20" s="319" t="s">
        <v>2209</v>
      </c>
      <c r="AI20" s="318"/>
      <c r="AJ20" s="320"/>
      <c r="AK20" s="326"/>
      <c r="AL20" s="324" t="str">
        <f t="shared" si="0"/>
        <v/>
      </c>
      <c r="AM20" s="325" t="str">
        <f t="shared" si="20"/>
        <v/>
      </c>
      <c r="AN20" s="255"/>
      <c r="AO20" s="548" t="str">
        <f>IFERROR(VLOOKUP(K20,【参考】数式用!$A$2:$N$57,14,FALSE),"")</f>
        <v>加算対象</v>
      </c>
      <c r="AP20" s="548" t="str">
        <f t="shared" si="1"/>
        <v>N列に色付け</v>
      </c>
      <c r="AQ20" s="552" t="str">
        <f t="shared" si="2"/>
        <v>入力済</v>
      </c>
      <c r="AR20" s="531" t="str">
        <f t="shared" si="3"/>
        <v>入力済</v>
      </c>
      <c r="AS20" s="548" t="str">
        <f t="shared" si="12"/>
        <v>AH列に色付け</v>
      </c>
      <c r="AT20" s="531" t="str">
        <f t="shared" si="4"/>
        <v>入力済</v>
      </c>
      <c r="AU20" s="531" t="str">
        <f t="shared" si="13"/>
        <v/>
      </c>
      <c r="AV20" s="531" t="str">
        <f t="shared" si="5"/>
        <v/>
      </c>
      <c r="AW20" s="548" t="str">
        <f t="shared" si="6"/>
        <v/>
      </c>
      <c r="AX20" s="548" t="str">
        <f t="shared" si="14"/>
        <v/>
      </c>
      <c r="AY20" s="531" t="str">
        <f>IFERROR(VLOOKUP(K20,【参考】数式用!$AR$5:$AS$39,2, FALSE), "")</f>
        <v>障害者支援施設_生活介護V</v>
      </c>
      <c r="AZ20" s="548" t="str">
        <f t="shared" si="15"/>
        <v/>
      </c>
      <c r="BA20" s="551" t="str">
        <f t="shared" si="7"/>
        <v>入力済</v>
      </c>
      <c r="BB20" s="531" t="str">
        <f>IFERROR(VLOOKUP(K20,【参考】数式用!$AX$3:$AY$59, 2, FALSE), "")</f>
        <v>障害者支援施設_生活介護R8</v>
      </c>
      <c r="BC20" s="548" t="str">
        <f t="shared" si="16"/>
        <v/>
      </c>
      <c r="BD20" s="551" t="str">
        <f t="shared" si="8"/>
        <v>入力済</v>
      </c>
      <c r="BE20" s="565" t="str">
        <f t="shared" si="17"/>
        <v/>
      </c>
      <c r="BF20" s="551" t="str">
        <f t="shared" si="9"/>
        <v>東京都</v>
      </c>
      <c r="BG20" s="592"/>
      <c r="BH20" s="531" t="str">
        <f t="shared" si="18"/>
        <v/>
      </c>
      <c r="BI20" s="596" t="str">
        <f>IF(BH20="Ⅱロ有り",ROUNDDOWN(L20*VLOOKUP(K20,【参考】数式用!$A$4:$J$42,10,FALSE)*AA20,0),"")</f>
        <v/>
      </c>
      <c r="BJ20" s="596" t="str">
        <f>IF(BH20="Ⅱロなし",ROUNDDOWN(L20*VLOOKUP(K20,【参考】数式用!$A$4:$J$42,8,FALSE)*AA20,0),"")</f>
        <v/>
      </c>
    </row>
    <row r="21" spans="1:69" s="257" customFormat="1" ht="109.9" customHeight="1" thickBot="1">
      <c r="A21" s="303">
        <v>8</v>
      </c>
      <c r="B21" s="933" t="str">
        <f>IF(基本情報入力シート!B43="","",基本情報入力シート!B43)</f>
        <v/>
      </c>
      <c r="C21" s="934"/>
      <c r="D21" s="934"/>
      <c r="E21" s="934"/>
      <c r="F21" s="935"/>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49" t="str">
        <f>IF(基本情報入力シート!AF43=0, "",基本情報入力シート!AF43)</f>
        <v/>
      </c>
      <c r="M21" s="573"/>
      <c r="N21" s="514" t="str">
        <f>IFERROR(VLOOKUP(K21,【参考】数式用!$A$2:$F$57,MATCH(M21,【参考】数式用!$C$3:$F$3,0)+2,0),"")</f>
        <v/>
      </c>
      <c r="O21" s="503"/>
      <c r="P21" s="546" t="str">
        <f>IFERROR(VLOOKUP(K21,【参考】数式用!$A$2:$F$57,MATCH(O21,【参考】数式用!$C$3:$F$3,0)+2,0),"")</f>
        <v/>
      </c>
      <c r="Q21" s="310" t="s">
        <v>118</v>
      </c>
      <c r="R21" s="308"/>
      <c r="S21" s="309" t="s">
        <v>183</v>
      </c>
      <c r="T21" s="308"/>
      <c r="U21" s="309" t="s">
        <v>184</v>
      </c>
      <c r="V21" s="308"/>
      <c r="W21" s="309" t="s">
        <v>183</v>
      </c>
      <c r="X21" s="308"/>
      <c r="Y21" s="309" t="s">
        <v>185</v>
      </c>
      <c r="Z21" s="309" t="s">
        <v>186</v>
      </c>
      <c r="AA21" s="309" t="str">
        <f t="shared" si="21"/>
        <v/>
      </c>
      <c r="AB21" s="305" t="s">
        <v>187</v>
      </c>
      <c r="AC21" s="306" t="str">
        <f t="shared" si="10"/>
        <v/>
      </c>
      <c r="AD21" s="507"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48" t="str">
        <f>IFERROR(VLOOKUP(K21,【参考】数式用!$A$2:$N$57,14,FALSE),"")</f>
        <v/>
      </c>
      <c r="AP21" s="548" t="str">
        <f t="shared" si="1"/>
        <v/>
      </c>
      <c r="AQ21" s="552" t="str">
        <f t="shared" si="2"/>
        <v/>
      </c>
      <c r="AR21" s="531" t="str">
        <f t="shared" si="3"/>
        <v>入力済</v>
      </c>
      <c r="AS21" s="548" t="str">
        <f t="shared" si="12"/>
        <v/>
      </c>
      <c r="AT21" s="531" t="str">
        <f t="shared" si="4"/>
        <v>入力済</v>
      </c>
      <c r="AU21" s="531" t="str">
        <f t="shared" si="13"/>
        <v/>
      </c>
      <c r="AV21" s="531" t="str">
        <f t="shared" si="5"/>
        <v/>
      </c>
      <c r="AW21" s="548" t="str">
        <f t="shared" si="6"/>
        <v/>
      </c>
      <c r="AX21" s="548" t="str">
        <f t="shared" si="14"/>
        <v/>
      </c>
      <c r="AY21" s="531" t="str">
        <f>IFERROR(VLOOKUP(K21,【参考】数式用!$AR$5:$AS$39,2, FALSE), "")</f>
        <v/>
      </c>
      <c r="AZ21" s="548" t="str">
        <f t="shared" si="15"/>
        <v/>
      </c>
      <c r="BA21" s="551" t="str">
        <f t="shared" si="7"/>
        <v>入力済</v>
      </c>
      <c r="BB21" s="531" t="str">
        <f>IFERROR(VLOOKUP(K21,【参考】数式用!$AX$3:$AY$59, 2, FALSE), "")</f>
        <v/>
      </c>
      <c r="BC21" s="548" t="str">
        <f t="shared" si="16"/>
        <v/>
      </c>
      <c r="BD21" s="551" t="str">
        <f t="shared" si="8"/>
        <v>入力済</v>
      </c>
      <c r="BE21" s="565" t="str">
        <f t="shared" si="17"/>
        <v/>
      </c>
      <c r="BF21" s="551" t="str">
        <f t="shared" si="9"/>
        <v/>
      </c>
      <c r="BG21" s="592"/>
      <c r="BH21" s="531" t="str">
        <f t="shared" si="18"/>
        <v/>
      </c>
      <c r="BI21" s="596" t="str">
        <f>IF(BH21="Ⅱロ有り",ROUNDDOWN(L21*VLOOKUP(K21,【参考】数式用!$A$4:$J$42,10,FALSE)*AA21,0),"")</f>
        <v/>
      </c>
      <c r="BJ21" s="596" t="str">
        <f>IF(BH21="Ⅱロなし",ROUNDDOWN(L21*VLOOKUP(K21,【参考】数式用!$A$4:$J$42,8,FALSE)*AA21,0),"")</f>
        <v/>
      </c>
    </row>
    <row r="22" spans="1:69" s="257" customFormat="1" ht="109.9" customHeight="1" thickBot="1">
      <c r="A22" s="303">
        <v>9</v>
      </c>
      <c r="B22" s="933" t="str">
        <f>IF(基本情報入力シート!B44="","",基本情報入力シート!B44)</f>
        <v/>
      </c>
      <c r="C22" s="934"/>
      <c r="D22" s="934"/>
      <c r="E22" s="934"/>
      <c r="F22" s="935"/>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49" t="str">
        <f>IF(基本情報入力シート!AF44=0, "",基本情報入力シート!AF44)</f>
        <v/>
      </c>
      <c r="M22" s="573"/>
      <c r="N22" s="514" t="str">
        <f>IFERROR(VLOOKUP(K22,【参考】数式用!$A$2:$F$57,MATCH(M22,【参考】数式用!$C$3:$F$3,0)+2,0),"")</f>
        <v/>
      </c>
      <c r="O22" s="503"/>
      <c r="P22" s="546" t="str">
        <f>IFERROR(VLOOKUP(K22,【参考】数式用!$A$2:$F$57,MATCH(O22,【参考】数式用!$C$3:$F$3,0)+2,0),"")</f>
        <v/>
      </c>
      <c r="Q22" s="310" t="s">
        <v>118</v>
      </c>
      <c r="R22" s="308"/>
      <c r="S22" s="309" t="s">
        <v>183</v>
      </c>
      <c r="T22" s="308"/>
      <c r="U22" s="309" t="s">
        <v>184</v>
      </c>
      <c r="V22" s="308"/>
      <c r="W22" s="309" t="s">
        <v>183</v>
      </c>
      <c r="X22" s="308"/>
      <c r="Y22" s="309" t="s">
        <v>185</v>
      </c>
      <c r="Z22" s="309" t="s">
        <v>186</v>
      </c>
      <c r="AA22" s="309" t="str">
        <f t="shared" si="21"/>
        <v/>
      </c>
      <c r="AB22" s="305" t="s">
        <v>187</v>
      </c>
      <c r="AC22" s="306" t="str">
        <f t="shared" si="10"/>
        <v/>
      </c>
      <c r="AD22" s="507"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48" t="str">
        <f>IFERROR(VLOOKUP(K22,【参考】数式用!$A$2:$N$57,14,FALSE),"")</f>
        <v/>
      </c>
      <c r="AP22" s="548" t="str">
        <f t="shared" si="1"/>
        <v/>
      </c>
      <c r="AQ22" s="552" t="str">
        <f t="shared" si="2"/>
        <v/>
      </c>
      <c r="AR22" s="531" t="str">
        <f t="shared" si="3"/>
        <v>入力済</v>
      </c>
      <c r="AS22" s="548" t="str">
        <f t="shared" si="12"/>
        <v/>
      </c>
      <c r="AT22" s="531" t="str">
        <f t="shared" si="4"/>
        <v>入力済</v>
      </c>
      <c r="AU22" s="531" t="str">
        <f t="shared" si="13"/>
        <v/>
      </c>
      <c r="AV22" s="531" t="str">
        <f t="shared" si="5"/>
        <v/>
      </c>
      <c r="AW22" s="548" t="str">
        <f t="shared" si="6"/>
        <v/>
      </c>
      <c r="AX22" s="548" t="str">
        <f t="shared" si="14"/>
        <v/>
      </c>
      <c r="AY22" s="531" t="str">
        <f>IFERROR(VLOOKUP(K22,【参考】数式用!$AR$5:$AS$39,2, FALSE), "")</f>
        <v/>
      </c>
      <c r="AZ22" s="548" t="str">
        <f t="shared" si="15"/>
        <v/>
      </c>
      <c r="BA22" s="551" t="str">
        <f t="shared" si="7"/>
        <v>入力済</v>
      </c>
      <c r="BB22" s="531" t="str">
        <f>IFERROR(VLOOKUP(K22,【参考】数式用!$AX$3:$AY$59, 2, FALSE), "")</f>
        <v/>
      </c>
      <c r="BC22" s="548" t="str">
        <f t="shared" si="16"/>
        <v/>
      </c>
      <c r="BD22" s="551" t="str">
        <f t="shared" si="8"/>
        <v>入力済</v>
      </c>
      <c r="BE22" s="565" t="str">
        <f t="shared" si="17"/>
        <v/>
      </c>
      <c r="BF22" s="551" t="str">
        <f t="shared" si="9"/>
        <v/>
      </c>
      <c r="BG22" s="592"/>
      <c r="BH22" s="531" t="str">
        <f t="shared" si="18"/>
        <v/>
      </c>
      <c r="BI22" s="596" t="str">
        <f>IF(BH22="Ⅱロ有り",ROUNDDOWN(L22*VLOOKUP(K22,【参考】数式用!$A$4:$J$42,10,FALSE)*AA22,0),"")</f>
        <v/>
      </c>
      <c r="BJ22" s="596" t="str">
        <f>IF(BH22="Ⅱロなし",ROUNDDOWN(L22*VLOOKUP(K22,【参考】数式用!$A$4:$J$42,8,FALSE)*AA22,0),"")</f>
        <v/>
      </c>
    </row>
    <row r="23" spans="1:69" s="257" customFormat="1" ht="109.9" customHeight="1" thickBot="1">
      <c r="A23" s="303">
        <v>10</v>
      </c>
      <c r="B23" s="933" t="str">
        <f>IF(基本情報入力シート!B45="","",基本情報入力シート!B45)</f>
        <v/>
      </c>
      <c r="C23" s="934"/>
      <c r="D23" s="934"/>
      <c r="E23" s="934"/>
      <c r="F23" s="935"/>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49" t="str">
        <f>IF(基本情報入力シート!AF45=0, "",基本情報入力シート!AF45)</f>
        <v/>
      </c>
      <c r="M23" s="573"/>
      <c r="N23" s="514" t="str">
        <f>IFERROR(VLOOKUP(K23,【参考】数式用!$A$2:$F$57,MATCH(M23,【参考】数式用!$C$3:$F$3,0)+2,0),"")</f>
        <v/>
      </c>
      <c r="O23" s="503"/>
      <c r="P23" s="546" t="str">
        <f>IFERROR(VLOOKUP(K23,【参考】数式用!$A$2:$F$57,MATCH(O23,【参考】数式用!$C$3:$F$3,0)+2,0),"")</f>
        <v/>
      </c>
      <c r="Q23" s="310" t="s">
        <v>118</v>
      </c>
      <c r="R23" s="308"/>
      <c r="S23" s="309" t="s">
        <v>183</v>
      </c>
      <c r="T23" s="308"/>
      <c r="U23" s="309" t="s">
        <v>184</v>
      </c>
      <c r="V23" s="308"/>
      <c r="W23" s="309" t="s">
        <v>183</v>
      </c>
      <c r="X23" s="308"/>
      <c r="Y23" s="309" t="s">
        <v>185</v>
      </c>
      <c r="Z23" s="309" t="s">
        <v>186</v>
      </c>
      <c r="AA23" s="309" t="str">
        <f t="shared" si="21"/>
        <v/>
      </c>
      <c r="AB23" s="305" t="s">
        <v>187</v>
      </c>
      <c r="AC23" s="306" t="str">
        <f t="shared" si="10"/>
        <v/>
      </c>
      <c r="AD23" s="507"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48" t="str">
        <f>IFERROR(VLOOKUP(K23,【参考】数式用!$A$2:$N$57,14,FALSE),"")</f>
        <v/>
      </c>
      <c r="AP23" s="548" t="str">
        <f t="shared" si="1"/>
        <v/>
      </c>
      <c r="AQ23" s="552" t="str">
        <f t="shared" si="2"/>
        <v/>
      </c>
      <c r="AR23" s="531" t="str">
        <f t="shared" si="3"/>
        <v>入力済</v>
      </c>
      <c r="AS23" s="548" t="str">
        <f t="shared" si="12"/>
        <v/>
      </c>
      <c r="AT23" s="531" t="str">
        <f t="shared" si="4"/>
        <v>入力済</v>
      </c>
      <c r="AU23" s="531" t="str">
        <f t="shared" si="13"/>
        <v/>
      </c>
      <c r="AV23" s="531" t="str">
        <f t="shared" si="5"/>
        <v/>
      </c>
      <c r="AW23" s="548" t="str">
        <f t="shared" si="6"/>
        <v/>
      </c>
      <c r="AX23" s="548" t="str">
        <f t="shared" si="14"/>
        <v/>
      </c>
      <c r="AY23" s="531" t="str">
        <f>IFERROR(VLOOKUP(K23,【参考】数式用!$AR$5:$AS$39,2, FALSE), "")</f>
        <v/>
      </c>
      <c r="AZ23" s="548" t="str">
        <f t="shared" si="15"/>
        <v/>
      </c>
      <c r="BA23" s="551" t="str">
        <f t="shared" si="7"/>
        <v>入力済</v>
      </c>
      <c r="BB23" s="531" t="str">
        <f>IFERROR(VLOOKUP(K23,【参考】数式用!$AX$3:$AY$59, 2, FALSE), "")</f>
        <v/>
      </c>
      <c r="BC23" s="548" t="str">
        <f t="shared" si="16"/>
        <v/>
      </c>
      <c r="BD23" s="551" t="str">
        <f t="shared" si="8"/>
        <v>入力済</v>
      </c>
      <c r="BE23" s="565" t="str">
        <f t="shared" si="17"/>
        <v/>
      </c>
      <c r="BF23" s="551" t="str">
        <f t="shared" si="9"/>
        <v/>
      </c>
      <c r="BG23" s="592"/>
      <c r="BH23" s="531" t="str">
        <f t="shared" si="18"/>
        <v/>
      </c>
      <c r="BI23" s="596" t="str">
        <f>IF(BH23="Ⅱロ有り",ROUNDDOWN(L23*VLOOKUP(K23,【参考】数式用!$A$4:$J$42,10,FALSE)*AA23,0),"")</f>
        <v/>
      </c>
      <c r="BJ23" s="596" t="str">
        <f>IF(BH23="Ⅱロなし",ROUNDDOWN(L23*VLOOKUP(K23,【参考】数式用!$A$4:$J$42,8,FALSE)*AA23,0),"")</f>
        <v/>
      </c>
    </row>
    <row r="24" spans="1:69" s="257" customFormat="1" ht="109.9" customHeight="1" thickBot="1">
      <c r="A24" s="303">
        <v>11</v>
      </c>
      <c r="B24" s="933" t="str">
        <f>IF(基本情報入力シート!B46="","",基本情報入力シート!B46)</f>
        <v/>
      </c>
      <c r="C24" s="934"/>
      <c r="D24" s="934"/>
      <c r="E24" s="934"/>
      <c r="F24" s="935"/>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49" t="str">
        <f>IF(基本情報入力シート!AF46=0, "",基本情報入力シート!AF46)</f>
        <v/>
      </c>
      <c r="M24" s="573"/>
      <c r="N24" s="514" t="str">
        <f>IFERROR(VLOOKUP(K24,【参考】数式用!$A$2:$F$57,MATCH(M24,【参考】数式用!$C$3:$F$3,0)+2,0),"")</f>
        <v/>
      </c>
      <c r="O24" s="503"/>
      <c r="P24" s="546" t="str">
        <f>IFERROR(VLOOKUP(K24,【参考】数式用!$A$2:$F$57,MATCH(O24,【参考】数式用!$C$3:$F$3,0)+2,0),"")</f>
        <v/>
      </c>
      <c r="Q24" s="310" t="s">
        <v>118</v>
      </c>
      <c r="R24" s="308"/>
      <c r="S24" s="309" t="s">
        <v>183</v>
      </c>
      <c r="T24" s="308"/>
      <c r="U24" s="309" t="s">
        <v>184</v>
      </c>
      <c r="V24" s="308"/>
      <c r="W24" s="309" t="s">
        <v>183</v>
      </c>
      <c r="X24" s="308"/>
      <c r="Y24" s="309" t="s">
        <v>185</v>
      </c>
      <c r="Z24" s="309" t="s">
        <v>186</v>
      </c>
      <c r="AA24" s="309" t="str">
        <f t="shared" si="21"/>
        <v/>
      </c>
      <c r="AB24" s="305" t="s">
        <v>187</v>
      </c>
      <c r="AC24" s="306" t="str">
        <f t="shared" si="10"/>
        <v/>
      </c>
      <c r="AD24" s="507"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48" t="str">
        <f>IFERROR(VLOOKUP(K24,【参考】数式用!$A$2:$N$57,14,FALSE),"")</f>
        <v/>
      </c>
      <c r="AP24" s="548" t="str">
        <f t="shared" si="1"/>
        <v/>
      </c>
      <c r="AQ24" s="552" t="str">
        <f t="shared" si="2"/>
        <v/>
      </c>
      <c r="AR24" s="531" t="str">
        <f t="shared" si="3"/>
        <v>入力済</v>
      </c>
      <c r="AS24" s="548" t="str">
        <f t="shared" si="12"/>
        <v/>
      </c>
      <c r="AT24" s="531" t="str">
        <f t="shared" si="4"/>
        <v>入力済</v>
      </c>
      <c r="AU24" s="531" t="str">
        <f t="shared" si="13"/>
        <v/>
      </c>
      <c r="AV24" s="531" t="str">
        <f t="shared" si="5"/>
        <v/>
      </c>
      <c r="AW24" s="548" t="str">
        <f t="shared" si="6"/>
        <v/>
      </c>
      <c r="AX24" s="548" t="str">
        <f t="shared" si="14"/>
        <v/>
      </c>
      <c r="AY24" s="531" t="str">
        <f>IFERROR(VLOOKUP(K24,【参考】数式用!$AR$5:$AS$39,2, FALSE), "")</f>
        <v/>
      </c>
      <c r="AZ24" s="548" t="str">
        <f t="shared" si="15"/>
        <v/>
      </c>
      <c r="BA24" s="551" t="str">
        <f t="shared" si="7"/>
        <v>入力済</v>
      </c>
      <c r="BB24" s="531" t="str">
        <f>IFERROR(VLOOKUP(K24,【参考】数式用!$AX$3:$AY$59, 2, FALSE), "")</f>
        <v/>
      </c>
      <c r="BC24" s="548" t="str">
        <f t="shared" si="16"/>
        <v/>
      </c>
      <c r="BD24" s="551" t="str">
        <f t="shared" si="8"/>
        <v>入力済</v>
      </c>
      <c r="BE24" s="565" t="str">
        <f t="shared" si="17"/>
        <v/>
      </c>
      <c r="BF24" s="551" t="str">
        <f t="shared" si="9"/>
        <v/>
      </c>
      <c r="BG24" s="592"/>
      <c r="BH24" s="531" t="str">
        <f t="shared" si="18"/>
        <v/>
      </c>
      <c r="BI24" s="596" t="str">
        <f>IF(BH24="Ⅱロ有り",ROUNDDOWN(L24*VLOOKUP(K24,【参考】数式用!$A$4:$J$42,10,FALSE)*AA24,0),"")</f>
        <v/>
      </c>
      <c r="BJ24" s="596" t="str">
        <f>IF(BH24="Ⅱロなし",ROUNDDOWN(L24*VLOOKUP(K24,【参考】数式用!$A$4:$J$42,8,FALSE)*AA24,0),"")</f>
        <v/>
      </c>
    </row>
    <row r="25" spans="1:69" s="257" customFormat="1" ht="109.9" customHeight="1" thickBot="1">
      <c r="A25" s="303">
        <v>12</v>
      </c>
      <c r="B25" s="933" t="str">
        <f>IF(基本情報入力シート!B47="","",基本情報入力シート!B47)</f>
        <v/>
      </c>
      <c r="C25" s="934"/>
      <c r="D25" s="934"/>
      <c r="E25" s="934"/>
      <c r="F25" s="935"/>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49" t="str">
        <f>IF(基本情報入力シート!AF47=0, "",基本情報入力シート!AF47)</f>
        <v/>
      </c>
      <c r="M25" s="573"/>
      <c r="N25" s="514" t="str">
        <f>IFERROR(VLOOKUP(K25,【参考】数式用!$A$2:$F$57,MATCH(M25,【参考】数式用!$C$3:$F$3,0)+2,0),"")</f>
        <v/>
      </c>
      <c r="O25" s="503"/>
      <c r="P25" s="546" t="str">
        <f>IFERROR(VLOOKUP(K25,【参考】数式用!$A$2:$F$57,MATCH(O25,【参考】数式用!$C$3:$F$3,0)+2,0),"")</f>
        <v/>
      </c>
      <c r="Q25" s="310" t="s">
        <v>118</v>
      </c>
      <c r="R25" s="308"/>
      <c r="S25" s="309" t="s">
        <v>183</v>
      </c>
      <c r="T25" s="308"/>
      <c r="U25" s="309" t="s">
        <v>184</v>
      </c>
      <c r="V25" s="308"/>
      <c r="W25" s="309" t="s">
        <v>183</v>
      </c>
      <c r="X25" s="308"/>
      <c r="Y25" s="309" t="s">
        <v>185</v>
      </c>
      <c r="Z25" s="309" t="s">
        <v>186</v>
      </c>
      <c r="AA25" s="309" t="str">
        <f t="shared" si="21"/>
        <v/>
      </c>
      <c r="AB25" s="305" t="s">
        <v>187</v>
      </c>
      <c r="AC25" s="306" t="str">
        <f t="shared" si="10"/>
        <v/>
      </c>
      <c r="AD25" s="507"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48" t="str">
        <f>IFERROR(VLOOKUP(K25,【参考】数式用!$A$2:$N$57,14,FALSE),"")</f>
        <v/>
      </c>
      <c r="AP25" s="548" t="str">
        <f t="shared" si="1"/>
        <v/>
      </c>
      <c r="AQ25" s="552" t="str">
        <f t="shared" si="2"/>
        <v/>
      </c>
      <c r="AR25" s="531" t="str">
        <f t="shared" si="3"/>
        <v>入力済</v>
      </c>
      <c r="AS25" s="548" t="str">
        <f t="shared" si="12"/>
        <v/>
      </c>
      <c r="AT25" s="531" t="str">
        <f t="shared" si="4"/>
        <v>入力済</v>
      </c>
      <c r="AU25" s="531" t="str">
        <f t="shared" si="13"/>
        <v/>
      </c>
      <c r="AV25" s="531" t="str">
        <f t="shared" si="5"/>
        <v/>
      </c>
      <c r="AW25" s="548" t="str">
        <f t="shared" si="6"/>
        <v/>
      </c>
      <c r="AX25" s="548" t="str">
        <f t="shared" si="14"/>
        <v/>
      </c>
      <c r="AY25" s="531" t="str">
        <f>IFERROR(VLOOKUP(K25,【参考】数式用!$AR$5:$AS$39,2, FALSE), "")</f>
        <v/>
      </c>
      <c r="AZ25" s="548" t="str">
        <f t="shared" si="15"/>
        <v/>
      </c>
      <c r="BA25" s="551" t="str">
        <f t="shared" si="7"/>
        <v>入力済</v>
      </c>
      <c r="BB25" s="531" t="str">
        <f>IFERROR(VLOOKUP(K25,【参考】数式用!$AX$3:$AY$59, 2, FALSE), "")</f>
        <v/>
      </c>
      <c r="BC25" s="548" t="str">
        <f t="shared" si="16"/>
        <v/>
      </c>
      <c r="BD25" s="551" t="str">
        <f t="shared" si="8"/>
        <v>入力済</v>
      </c>
      <c r="BE25" s="565" t="str">
        <f t="shared" si="17"/>
        <v/>
      </c>
      <c r="BF25" s="551" t="str">
        <f t="shared" si="9"/>
        <v/>
      </c>
      <c r="BG25" s="592"/>
      <c r="BH25" s="531" t="str">
        <f t="shared" si="18"/>
        <v/>
      </c>
      <c r="BI25" s="596" t="str">
        <f>IF(BH25="Ⅱロ有り",ROUNDDOWN(L25*VLOOKUP(K25,【参考】数式用!$A$4:$J$42,10,FALSE)*AA25,0),"")</f>
        <v/>
      </c>
      <c r="BJ25" s="596" t="str">
        <f>IF(BH25="Ⅱロなし",ROUNDDOWN(L25*VLOOKUP(K25,【参考】数式用!$A$4:$J$42,8,FALSE)*AA25,0),"")</f>
        <v/>
      </c>
    </row>
    <row r="26" spans="1:69" s="257" customFormat="1" ht="109.9" customHeight="1" thickBot="1">
      <c r="A26" s="303">
        <v>13</v>
      </c>
      <c r="B26" s="933" t="str">
        <f>IF(基本情報入力シート!B48="","",基本情報入力シート!B48)</f>
        <v/>
      </c>
      <c r="C26" s="934"/>
      <c r="D26" s="934"/>
      <c r="E26" s="934"/>
      <c r="F26" s="935"/>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49" t="str">
        <f>IF(基本情報入力シート!AF48=0, "",基本情報入力シート!AF48)</f>
        <v/>
      </c>
      <c r="M26" s="573"/>
      <c r="N26" s="514" t="str">
        <f>IFERROR(VLOOKUP(K26,【参考】数式用!$A$2:$F$57,MATCH(M26,【参考】数式用!$C$3:$F$3,0)+2,0),"")</f>
        <v/>
      </c>
      <c r="O26" s="503"/>
      <c r="P26" s="546" t="str">
        <f>IFERROR(VLOOKUP(K26,【参考】数式用!$A$2:$F$57,MATCH(O26,【参考】数式用!$C$3:$F$3,0)+2,0),"")</f>
        <v/>
      </c>
      <c r="Q26" s="310" t="s">
        <v>118</v>
      </c>
      <c r="R26" s="308"/>
      <c r="S26" s="309" t="s">
        <v>183</v>
      </c>
      <c r="T26" s="308"/>
      <c r="U26" s="309" t="s">
        <v>184</v>
      </c>
      <c r="V26" s="308"/>
      <c r="W26" s="309" t="s">
        <v>183</v>
      </c>
      <c r="X26" s="308"/>
      <c r="Y26" s="309" t="s">
        <v>185</v>
      </c>
      <c r="Z26" s="309" t="s">
        <v>186</v>
      </c>
      <c r="AA26" s="309" t="str">
        <f t="shared" si="21"/>
        <v/>
      </c>
      <c r="AB26" s="305" t="s">
        <v>187</v>
      </c>
      <c r="AC26" s="306" t="str">
        <f t="shared" si="10"/>
        <v/>
      </c>
      <c r="AD26" s="507"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48" t="str">
        <f>IFERROR(VLOOKUP(K26,【参考】数式用!$A$2:$N$57,14,FALSE),"")</f>
        <v/>
      </c>
      <c r="AP26" s="548" t="str">
        <f t="shared" si="1"/>
        <v/>
      </c>
      <c r="AQ26" s="552" t="str">
        <f t="shared" si="2"/>
        <v/>
      </c>
      <c r="AR26" s="531" t="str">
        <f t="shared" si="3"/>
        <v>入力済</v>
      </c>
      <c r="AS26" s="548" t="str">
        <f t="shared" si="12"/>
        <v/>
      </c>
      <c r="AT26" s="531" t="str">
        <f t="shared" si="4"/>
        <v>入力済</v>
      </c>
      <c r="AU26" s="531" t="str">
        <f t="shared" si="13"/>
        <v/>
      </c>
      <c r="AV26" s="531" t="str">
        <f t="shared" si="5"/>
        <v/>
      </c>
      <c r="AW26" s="548" t="str">
        <f t="shared" si="6"/>
        <v/>
      </c>
      <c r="AX26" s="548" t="str">
        <f t="shared" si="14"/>
        <v/>
      </c>
      <c r="AY26" s="531" t="str">
        <f>IFERROR(VLOOKUP(K26,【参考】数式用!$AR$5:$AS$39,2, FALSE), "")</f>
        <v/>
      </c>
      <c r="AZ26" s="548" t="str">
        <f t="shared" si="15"/>
        <v/>
      </c>
      <c r="BA26" s="551" t="str">
        <f t="shared" si="7"/>
        <v>入力済</v>
      </c>
      <c r="BB26" s="531" t="str">
        <f>IFERROR(VLOOKUP(K26,【参考】数式用!$AX$3:$AY$59, 2, FALSE), "")</f>
        <v/>
      </c>
      <c r="BC26" s="548" t="str">
        <f t="shared" si="16"/>
        <v/>
      </c>
      <c r="BD26" s="551" t="str">
        <f t="shared" si="8"/>
        <v>入力済</v>
      </c>
      <c r="BE26" s="565" t="str">
        <f t="shared" si="17"/>
        <v/>
      </c>
      <c r="BF26" s="551" t="str">
        <f t="shared" si="9"/>
        <v/>
      </c>
      <c r="BG26" s="592"/>
      <c r="BH26" s="531" t="str">
        <f t="shared" si="18"/>
        <v/>
      </c>
      <c r="BI26" s="596" t="str">
        <f>IF(BH26="Ⅱロ有り",ROUNDDOWN(L26*VLOOKUP(K26,【参考】数式用!$A$4:$J$42,10,FALSE)*AA26,0),"")</f>
        <v/>
      </c>
      <c r="BJ26" s="596" t="str">
        <f>IF(BH26="Ⅱロなし",ROUNDDOWN(L26*VLOOKUP(K26,【参考】数式用!$A$4:$J$42,8,FALSE)*AA26,0),"")</f>
        <v/>
      </c>
    </row>
    <row r="27" spans="1:69" s="257" customFormat="1" ht="109.9" customHeight="1" thickBot="1">
      <c r="A27" s="303">
        <v>14</v>
      </c>
      <c r="B27" s="933" t="str">
        <f>IF(基本情報入力シート!B49="","",基本情報入力シート!B49)</f>
        <v/>
      </c>
      <c r="C27" s="934"/>
      <c r="D27" s="934"/>
      <c r="E27" s="934"/>
      <c r="F27" s="935"/>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49" t="str">
        <f>IF(基本情報入力シート!AF49=0, "",基本情報入力シート!AF49)</f>
        <v/>
      </c>
      <c r="M27" s="573"/>
      <c r="N27" s="514" t="str">
        <f>IFERROR(VLOOKUP(K27,【参考】数式用!$A$2:$F$57,MATCH(M27,【参考】数式用!$C$3:$F$3,0)+2,0),"")</f>
        <v/>
      </c>
      <c r="O27" s="503"/>
      <c r="P27" s="546" t="str">
        <f>IFERROR(VLOOKUP(K27,【参考】数式用!$A$2:$F$57,MATCH(O27,【参考】数式用!$C$3:$F$3,0)+2,0),"")</f>
        <v/>
      </c>
      <c r="Q27" s="310" t="s">
        <v>118</v>
      </c>
      <c r="R27" s="308"/>
      <c r="S27" s="309" t="s">
        <v>183</v>
      </c>
      <c r="T27" s="308"/>
      <c r="U27" s="309" t="s">
        <v>184</v>
      </c>
      <c r="V27" s="308"/>
      <c r="W27" s="309" t="s">
        <v>183</v>
      </c>
      <c r="X27" s="308"/>
      <c r="Y27" s="309" t="s">
        <v>185</v>
      </c>
      <c r="Z27" s="309" t="s">
        <v>186</v>
      </c>
      <c r="AA27" s="309" t="str">
        <f t="shared" si="21"/>
        <v/>
      </c>
      <c r="AB27" s="305" t="s">
        <v>187</v>
      </c>
      <c r="AC27" s="306" t="str">
        <f t="shared" si="10"/>
        <v/>
      </c>
      <c r="AD27" s="507"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48" t="str">
        <f>IFERROR(VLOOKUP(K27,【参考】数式用!$A$2:$N$57,14,FALSE),"")</f>
        <v/>
      </c>
      <c r="AP27" s="548" t="str">
        <f t="shared" si="1"/>
        <v/>
      </c>
      <c r="AQ27" s="552" t="str">
        <f t="shared" si="2"/>
        <v/>
      </c>
      <c r="AR27" s="531" t="str">
        <f t="shared" si="3"/>
        <v>入力済</v>
      </c>
      <c r="AS27" s="548" t="str">
        <f t="shared" si="12"/>
        <v/>
      </c>
      <c r="AT27" s="531" t="str">
        <f t="shared" si="4"/>
        <v>入力済</v>
      </c>
      <c r="AU27" s="531" t="str">
        <f t="shared" si="13"/>
        <v/>
      </c>
      <c r="AV27" s="531" t="str">
        <f t="shared" si="5"/>
        <v/>
      </c>
      <c r="AW27" s="548" t="str">
        <f t="shared" si="6"/>
        <v/>
      </c>
      <c r="AX27" s="548" t="str">
        <f t="shared" si="14"/>
        <v/>
      </c>
      <c r="AY27" s="531" t="str">
        <f>IFERROR(VLOOKUP(K27,【参考】数式用!$AR$5:$AS$39,2, FALSE), "")</f>
        <v/>
      </c>
      <c r="AZ27" s="548" t="str">
        <f t="shared" si="15"/>
        <v/>
      </c>
      <c r="BA27" s="551" t="str">
        <f t="shared" si="7"/>
        <v>入力済</v>
      </c>
      <c r="BB27" s="531" t="str">
        <f>IFERROR(VLOOKUP(K27,【参考】数式用!$AX$3:$AY$59, 2, FALSE), "")</f>
        <v/>
      </c>
      <c r="BC27" s="548" t="str">
        <f t="shared" si="16"/>
        <v/>
      </c>
      <c r="BD27" s="551" t="str">
        <f t="shared" si="8"/>
        <v>入力済</v>
      </c>
      <c r="BE27" s="565" t="str">
        <f t="shared" si="17"/>
        <v/>
      </c>
      <c r="BF27" s="551" t="str">
        <f t="shared" si="9"/>
        <v/>
      </c>
      <c r="BG27" s="592"/>
      <c r="BH27" s="531" t="str">
        <f t="shared" si="18"/>
        <v/>
      </c>
      <c r="BI27" s="596" t="str">
        <f>IF(BH27="Ⅱロ有り",ROUNDDOWN(L27*VLOOKUP(K27,【参考】数式用!$A$4:$J$42,10,FALSE)*AA27,0),"")</f>
        <v/>
      </c>
      <c r="BJ27" s="596" t="str">
        <f>IF(BH27="Ⅱロなし",ROUNDDOWN(L27*VLOOKUP(K27,【参考】数式用!$A$4:$J$42,8,FALSE)*AA27,0),"")</f>
        <v/>
      </c>
    </row>
    <row r="28" spans="1:69" s="257" customFormat="1" ht="109.9" customHeight="1" thickBot="1">
      <c r="A28" s="303">
        <v>15</v>
      </c>
      <c r="B28" s="933" t="str">
        <f>IF(基本情報入力シート!B50="","",基本情報入力シート!B50)</f>
        <v/>
      </c>
      <c r="C28" s="934"/>
      <c r="D28" s="934"/>
      <c r="E28" s="934"/>
      <c r="F28" s="935"/>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49" t="str">
        <f>IF(基本情報入力シート!AF50=0, "",基本情報入力シート!AF50)</f>
        <v/>
      </c>
      <c r="M28" s="573"/>
      <c r="N28" s="514" t="str">
        <f>IFERROR(VLOOKUP(K28,【参考】数式用!$A$2:$F$57,MATCH(M28,【参考】数式用!$C$3:$F$3,0)+2,0),"")</f>
        <v/>
      </c>
      <c r="O28" s="503"/>
      <c r="P28" s="546" t="str">
        <f>IFERROR(VLOOKUP(K28,【参考】数式用!$A$2:$F$57,MATCH(O28,【参考】数式用!$C$3:$F$3,0)+2,0),"")</f>
        <v/>
      </c>
      <c r="Q28" s="310" t="s">
        <v>118</v>
      </c>
      <c r="R28" s="308"/>
      <c r="S28" s="309" t="s">
        <v>183</v>
      </c>
      <c r="T28" s="308"/>
      <c r="U28" s="309" t="s">
        <v>184</v>
      </c>
      <c r="V28" s="308"/>
      <c r="W28" s="309" t="s">
        <v>183</v>
      </c>
      <c r="X28" s="308"/>
      <c r="Y28" s="309" t="s">
        <v>185</v>
      </c>
      <c r="Z28" s="309" t="s">
        <v>186</v>
      </c>
      <c r="AA28" s="309" t="str">
        <f t="shared" si="21"/>
        <v/>
      </c>
      <c r="AB28" s="305" t="s">
        <v>187</v>
      </c>
      <c r="AC28" s="306" t="str">
        <f t="shared" si="10"/>
        <v/>
      </c>
      <c r="AD28" s="507"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48" t="str">
        <f>IFERROR(VLOOKUP(K28,【参考】数式用!$A$2:$N$57,14,FALSE),"")</f>
        <v/>
      </c>
      <c r="AP28" s="548" t="str">
        <f t="shared" si="1"/>
        <v/>
      </c>
      <c r="AQ28" s="552" t="str">
        <f t="shared" si="2"/>
        <v/>
      </c>
      <c r="AR28" s="531" t="str">
        <f t="shared" si="3"/>
        <v>入力済</v>
      </c>
      <c r="AS28" s="548" t="str">
        <f t="shared" si="12"/>
        <v/>
      </c>
      <c r="AT28" s="531" t="str">
        <f t="shared" si="4"/>
        <v>入力済</v>
      </c>
      <c r="AU28" s="531" t="str">
        <f t="shared" si="13"/>
        <v/>
      </c>
      <c r="AV28" s="531" t="str">
        <f t="shared" si="5"/>
        <v/>
      </c>
      <c r="AW28" s="548" t="str">
        <f t="shared" si="6"/>
        <v/>
      </c>
      <c r="AX28" s="548" t="str">
        <f t="shared" si="14"/>
        <v/>
      </c>
      <c r="AY28" s="531" t="str">
        <f>IFERROR(VLOOKUP(K28,【参考】数式用!$AR$5:$AS$39,2, FALSE), "")</f>
        <v/>
      </c>
      <c r="AZ28" s="548" t="str">
        <f t="shared" si="15"/>
        <v/>
      </c>
      <c r="BA28" s="551" t="str">
        <f t="shared" si="7"/>
        <v>入力済</v>
      </c>
      <c r="BB28" s="531" t="str">
        <f>IFERROR(VLOOKUP(K28,【参考】数式用!$AX$3:$AY$59, 2, FALSE), "")</f>
        <v/>
      </c>
      <c r="BC28" s="548" t="str">
        <f t="shared" si="16"/>
        <v/>
      </c>
      <c r="BD28" s="551" t="str">
        <f t="shared" si="8"/>
        <v>入力済</v>
      </c>
      <c r="BE28" s="565" t="str">
        <f t="shared" si="17"/>
        <v/>
      </c>
      <c r="BF28" s="551" t="str">
        <f t="shared" si="9"/>
        <v/>
      </c>
      <c r="BG28" s="592"/>
      <c r="BH28" s="531" t="str">
        <f t="shared" si="18"/>
        <v/>
      </c>
      <c r="BI28" s="596" t="str">
        <f>IF(BH28="Ⅱロ有り",ROUNDDOWN(L28*VLOOKUP(K28,【参考】数式用!$A$4:$J$42,10,FALSE)*AA28,0),"")</f>
        <v/>
      </c>
      <c r="BJ28" s="596" t="str">
        <f>IF(BH28="Ⅱロなし",ROUNDDOWN(L28*VLOOKUP(K28,【参考】数式用!$A$4:$J$42,8,FALSE)*AA28,0),"")</f>
        <v/>
      </c>
    </row>
    <row r="29" spans="1:69" s="257" customFormat="1" ht="109.9" customHeight="1" thickBot="1">
      <c r="A29" s="303">
        <v>16</v>
      </c>
      <c r="B29" s="933" t="str">
        <f>IF(基本情報入力シート!B51="","",基本情報入力シート!B51)</f>
        <v/>
      </c>
      <c r="C29" s="934"/>
      <c r="D29" s="934"/>
      <c r="E29" s="934"/>
      <c r="F29" s="935"/>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49" t="str">
        <f>IF(基本情報入力シート!AF51=0, "",基本情報入力シート!AF51)</f>
        <v/>
      </c>
      <c r="M29" s="573"/>
      <c r="N29" s="514" t="str">
        <f>IFERROR(VLOOKUP(K29,【参考】数式用!$A$2:$F$57,MATCH(M29,【参考】数式用!$C$3:$F$3,0)+2,0),"")</f>
        <v/>
      </c>
      <c r="O29" s="503"/>
      <c r="P29" s="546" t="str">
        <f>IFERROR(VLOOKUP(K29,【参考】数式用!$A$2:$F$57,MATCH(O29,【参考】数式用!$C$3:$F$3,0)+2,0),"")</f>
        <v/>
      </c>
      <c r="Q29" s="310" t="s">
        <v>118</v>
      </c>
      <c r="R29" s="308"/>
      <c r="S29" s="309" t="s">
        <v>183</v>
      </c>
      <c r="T29" s="308"/>
      <c r="U29" s="309" t="s">
        <v>184</v>
      </c>
      <c r="V29" s="308"/>
      <c r="W29" s="309" t="s">
        <v>183</v>
      </c>
      <c r="X29" s="308"/>
      <c r="Y29" s="309" t="s">
        <v>185</v>
      </c>
      <c r="Z29" s="309" t="s">
        <v>186</v>
      </c>
      <c r="AA29" s="309" t="str">
        <f t="shared" si="21"/>
        <v/>
      </c>
      <c r="AB29" s="305" t="s">
        <v>187</v>
      </c>
      <c r="AC29" s="306" t="str">
        <f t="shared" si="10"/>
        <v/>
      </c>
      <c r="AD29" s="507"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48" t="str">
        <f>IFERROR(VLOOKUP(K29,【参考】数式用!$A$2:$N$57,14,FALSE),"")</f>
        <v/>
      </c>
      <c r="AP29" s="548" t="str">
        <f t="shared" si="1"/>
        <v/>
      </c>
      <c r="AQ29" s="552" t="str">
        <f t="shared" si="2"/>
        <v/>
      </c>
      <c r="AR29" s="531" t="str">
        <f t="shared" si="3"/>
        <v>入力済</v>
      </c>
      <c r="AS29" s="548" t="str">
        <f t="shared" si="12"/>
        <v/>
      </c>
      <c r="AT29" s="531" t="str">
        <f t="shared" si="4"/>
        <v>入力済</v>
      </c>
      <c r="AU29" s="531" t="str">
        <f t="shared" si="13"/>
        <v/>
      </c>
      <c r="AV29" s="531" t="str">
        <f t="shared" si="5"/>
        <v/>
      </c>
      <c r="AW29" s="548" t="str">
        <f t="shared" si="6"/>
        <v/>
      </c>
      <c r="AX29" s="548" t="str">
        <f t="shared" si="14"/>
        <v/>
      </c>
      <c r="AY29" s="531" t="str">
        <f>IFERROR(VLOOKUP(K29,【参考】数式用!$AR$5:$AS$39,2, FALSE), "")</f>
        <v/>
      </c>
      <c r="AZ29" s="548" t="str">
        <f t="shared" si="15"/>
        <v/>
      </c>
      <c r="BA29" s="551" t="str">
        <f t="shared" si="7"/>
        <v>入力済</v>
      </c>
      <c r="BB29" s="531" t="str">
        <f>IFERROR(VLOOKUP(K29,【参考】数式用!$AX$3:$AY$59, 2, FALSE), "")</f>
        <v/>
      </c>
      <c r="BC29" s="548" t="str">
        <f t="shared" si="16"/>
        <v/>
      </c>
      <c r="BD29" s="551" t="str">
        <f t="shared" si="8"/>
        <v>入力済</v>
      </c>
      <c r="BE29" s="565" t="str">
        <f t="shared" si="17"/>
        <v/>
      </c>
      <c r="BF29" s="551" t="str">
        <f t="shared" si="9"/>
        <v/>
      </c>
      <c r="BG29" s="592"/>
      <c r="BH29" s="531" t="str">
        <f t="shared" si="18"/>
        <v/>
      </c>
      <c r="BI29" s="596" t="str">
        <f>IF(BH29="Ⅱロ有り",ROUNDDOWN(L29*VLOOKUP(K29,【参考】数式用!$A$4:$J$42,10,FALSE)*AA29,0),"")</f>
        <v/>
      </c>
      <c r="BJ29" s="596" t="str">
        <f>IF(BH29="Ⅱロなし",ROUNDDOWN(L29*VLOOKUP(K29,【参考】数式用!$A$4:$J$42,8,FALSE)*AA29,0),"")</f>
        <v/>
      </c>
    </row>
    <row r="30" spans="1:69" s="257" customFormat="1" ht="109.9" customHeight="1" thickBot="1">
      <c r="A30" s="303">
        <v>17</v>
      </c>
      <c r="B30" s="933" t="str">
        <f>IF(基本情報入力シート!B52="","",基本情報入力シート!B52)</f>
        <v/>
      </c>
      <c r="C30" s="934"/>
      <c r="D30" s="934"/>
      <c r="E30" s="934"/>
      <c r="F30" s="935"/>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49" t="str">
        <f>IF(基本情報入力シート!AF52=0, "",基本情報入力シート!AF52)</f>
        <v/>
      </c>
      <c r="M30" s="573"/>
      <c r="N30" s="514" t="str">
        <f>IFERROR(VLOOKUP(K30,【参考】数式用!$A$2:$F$57,MATCH(M30,【参考】数式用!$C$3:$F$3,0)+2,0),"")</f>
        <v/>
      </c>
      <c r="O30" s="503"/>
      <c r="P30" s="546" t="str">
        <f>IFERROR(VLOOKUP(K30,【参考】数式用!$A$2:$F$57,MATCH(O30,【参考】数式用!$C$3:$F$3,0)+2,0),"")</f>
        <v/>
      </c>
      <c r="Q30" s="310" t="s">
        <v>118</v>
      </c>
      <c r="R30" s="308"/>
      <c r="S30" s="309" t="s">
        <v>183</v>
      </c>
      <c r="T30" s="308"/>
      <c r="U30" s="309" t="s">
        <v>184</v>
      </c>
      <c r="V30" s="308"/>
      <c r="W30" s="309" t="s">
        <v>183</v>
      </c>
      <c r="X30" s="308"/>
      <c r="Y30" s="309" t="s">
        <v>185</v>
      </c>
      <c r="Z30" s="309" t="s">
        <v>186</v>
      </c>
      <c r="AA30" s="309" t="str">
        <f t="shared" si="21"/>
        <v/>
      </c>
      <c r="AB30" s="305" t="s">
        <v>187</v>
      </c>
      <c r="AC30" s="306" t="str">
        <f t="shared" si="10"/>
        <v/>
      </c>
      <c r="AD30" s="507"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48" t="str">
        <f>IFERROR(VLOOKUP(K30,【参考】数式用!$A$2:$N$57,14,FALSE),"")</f>
        <v/>
      </c>
      <c r="AP30" s="548" t="str">
        <f t="shared" si="1"/>
        <v/>
      </c>
      <c r="AQ30" s="552" t="str">
        <f t="shared" si="2"/>
        <v/>
      </c>
      <c r="AR30" s="531" t="str">
        <f t="shared" si="3"/>
        <v>入力済</v>
      </c>
      <c r="AS30" s="548" t="str">
        <f t="shared" si="12"/>
        <v/>
      </c>
      <c r="AT30" s="531" t="str">
        <f t="shared" si="4"/>
        <v>入力済</v>
      </c>
      <c r="AU30" s="531" t="str">
        <f t="shared" si="13"/>
        <v/>
      </c>
      <c r="AV30" s="531" t="str">
        <f t="shared" si="5"/>
        <v/>
      </c>
      <c r="AW30" s="548" t="str">
        <f t="shared" si="6"/>
        <v/>
      </c>
      <c r="AX30" s="548" t="str">
        <f t="shared" si="14"/>
        <v/>
      </c>
      <c r="AY30" s="531" t="str">
        <f>IFERROR(VLOOKUP(K30,【参考】数式用!$AR$5:$AS$39,2, FALSE), "")</f>
        <v/>
      </c>
      <c r="AZ30" s="548" t="str">
        <f t="shared" si="15"/>
        <v/>
      </c>
      <c r="BA30" s="551" t="str">
        <f t="shared" si="7"/>
        <v>入力済</v>
      </c>
      <c r="BB30" s="531" t="str">
        <f>IFERROR(VLOOKUP(K30,【参考】数式用!$AX$3:$AY$59, 2, FALSE), "")</f>
        <v/>
      </c>
      <c r="BC30" s="548" t="str">
        <f t="shared" si="16"/>
        <v/>
      </c>
      <c r="BD30" s="551" t="str">
        <f t="shared" si="8"/>
        <v>入力済</v>
      </c>
      <c r="BE30" s="565" t="str">
        <f t="shared" si="17"/>
        <v/>
      </c>
      <c r="BF30" s="551" t="str">
        <f t="shared" si="9"/>
        <v/>
      </c>
      <c r="BG30" s="592"/>
      <c r="BH30" s="531" t="str">
        <f t="shared" si="18"/>
        <v/>
      </c>
      <c r="BI30" s="596" t="str">
        <f>IF(BH30="Ⅱロ有り",ROUNDDOWN(L30*VLOOKUP(K30,【参考】数式用!$A$4:$J$42,10,FALSE)*AA30,0),"")</f>
        <v/>
      </c>
      <c r="BJ30" s="596" t="str">
        <f>IF(BH30="Ⅱロなし",ROUNDDOWN(L30*VLOOKUP(K30,【参考】数式用!$A$4:$J$42,8,FALSE)*AA30,0),"")</f>
        <v/>
      </c>
    </row>
    <row r="31" spans="1:69" s="257" customFormat="1" ht="109.9" customHeight="1" thickBot="1">
      <c r="A31" s="303">
        <v>18</v>
      </c>
      <c r="B31" s="933" t="str">
        <f>IF(基本情報入力シート!B53="","",基本情報入力シート!B53)</f>
        <v/>
      </c>
      <c r="C31" s="934"/>
      <c r="D31" s="934"/>
      <c r="E31" s="934"/>
      <c r="F31" s="935"/>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49" t="str">
        <f>IF(基本情報入力シート!AF53=0, "",基本情報入力シート!AF53)</f>
        <v/>
      </c>
      <c r="M31" s="573"/>
      <c r="N31" s="514" t="str">
        <f>IFERROR(VLOOKUP(K31,【参考】数式用!$A$2:$F$57,MATCH(M31,【参考】数式用!$C$3:$F$3,0)+2,0),"")</f>
        <v/>
      </c>
      <c r="O31" s="503"/>
      <c r="P31" s="546" t="str">
        <f>IFERROR(VLOOKUP(K31,【参考】数式用!$A$2:$F$57,MATCH(O31,【参考】数式用!$C$3:$F$3,0)+2,0),"")</f>
        <v/>
      </c>
      <c r="Q31" s="310" t="s">
        <v>118</v>
      </c>
      <c r="R31" s="308"/>
      <c r="S31" s="309" t="s">
        <v>183</v>
      </c>
      <c r="T31" s="308"/>
      <c r="U31" s="309" t="s">
        <v>184</v>
      </c>
      <c r="V31" s="308"/>
      <c r="W31" s="309" t="s">
        <v>183</v>
      </c>
      <c r="X31" s="308"/>
      <c r="Y31" s="309" t="s">
        <v>185</v>
      </c>
      <c r="Z31" s="309" t="s">
        <v>186</v>
      </c>
      <c r="AA31" s="309" t="str">
        <f t="shared" si="21"/>
        <v/>
      </c>
      <c r="AB31" s="305" t="s">
        <v>187</v>
      </c>
      <c r="AC31" s="306" t="str">
        <f t="shared" si="10"/>
        <v/>
      </c>
      <c r="AD31" s="507"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48" t="str">
        <f>IFERROR(VLOOKUP(K31,【参考】数式用!$A$2:$N$57,14,FALSE),"")</f>
        <v/>
      </c>
      <c r="AP31" s="548" t="str">
        <f t="shared" si="1"/>
        <v/>
      </c>
      <c r="AQ31" s="552" t="str">
        <f t="shared" si="2"/>
        <v/>
      </c>
      <c r="AR31" s="531" t="str">
        <f t="shared" si="3"/>
        <v>入力済</v>
      </c>
      <c r="AS31" s="548" t="str">
        <f t="shared" si="12"/>
        <v/>
      </c>
      <c r="AT31" s="531" t="str">
        <f t="shared" si="4"/>
        <v>入力済</v>
      </c>
      <c r="AU31" s="531" t="str">
        <f t="shared" si="13"/>
        <v/>
      </c>
      <c r="AV31" s="531" t="str">
        <f t="shared" si="5"/>
        <v/>
      </c>
      <c r="AW31" s="548" t="str">
        <f t="shared" si="6"/>
        <v/>
      </c>
      <c r="AX31" s="548" t="str">
        <f t="shared" si="14"/>
        <v/>
      </c>
      <c r="AY31" s="531" t="str">
        <f>IFERROR(VLOOKUP(K31,【参考】数式用!$AR$5:$AS$39,2, FALSE), "")</f>
        <v/>
      </c>
      <c r="AZ31" s="548" t="str">
        <f t="shared" si="15"/>
        <v/>
      </c>
      <c r="BA31" s="551" t="str">
        <f t="shared" si="7"/>
        <v>入力済</v>
      </c>
      <c r="BB31" s="531" t="str">
        <f>IFERROR(VLOOKUP(K31,【参考】数式用!$AX$3:$AY$59, 2, FALSE), "")</f>
        <v/>
      </c>
      <c r="BC31" s="548" t="str">
        <f t="shared" si="16"/>
        <v/>
      </c>
      <c r="BD31" s="551" t="str">
        <f t="shared" si="8"/>
        <v>入力済</v>
      </c>
      <c r="BE31" s="565" t="str">
        <f t="shared" si="17"/>
        <v/>
      </c>
      <c r="BF31" s="551" t="str">
        <f t="shared" si="9"/>
        <v/>
      </c>
      <c r="BG31" s="592"/>
      <c r="BH31" s="531" t="str">
        <f t="shared" si="18"/>
        <v/>
      </c>
      <c r="BI31" s="596" t="str">
        <f>IF(BH31="Ⅱロ有り",ROUNDDOWN(L31*VLOOKUP(K31,【参考】数式用!$A$4:$J$42,10,FALSE)*AA31,0),"")</f>
        <v/>
      </c>
      <c r="BJ31" s="596" t="str">
        <f>IF(BH31="Ⅱロなし",ROUNDDOWN(L31*VLOOKUP(K31,【参考】数式用!$A$4:$J$42,8,FALSE)*AA31,0),"")</f>
        <v/>
      </c>
    </row>
    <row r="32" spans="1:69" s="257" customFormat="1" ht="109.9" customHeight="1" thickBot="1">
      <c r="A32" s="303">
        <v>19</v>
      </c>
      <c r="B32" s="933" t="str">
        <f>IF(基本情報入力シート!B54="","",基本情報入力シート!B54)</f>
        <v/>
      </c>
      <c r="C32" s="934"/>
      <c r="D32" s="934"/>
      <c r="E32" s="934"/>
      <c r="F32" s="935"/>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49" t="str">
        <f>IF(基本情報入力シート!AF54=0, "",基本情報入力シート!AF54)</f>
        <v/>
      </c>
      <c r="M32" s="573"/>
      <c r="N32" s="514" t="str">
        <f>IFERROR(VLOOKUP(K32,【参考】数式用!$A$2:$F$57,MATCH(M32,【参考】数式用!$C$3:$F$3,0)+2,0),"")</f>
        <v/>
      </c>
      <c r="O32" s="503"/>
      <c r="P32" s="546" t="str">
        <f>IFERROR(VLOOKUP(K32,【参考】数式用!$A$2:$F$57,MATCH(O32,【参考】数式用!$C$3:$F$3,0)+2,0),"")</f>
        <v/>
      </c>
      <c r="Q32" s="310" t="s">
        <v>118</v>
      </c>
      <c r="R32" s="308"/>
      <c r="S32" s="309" t="s">
        <v>183</v>
      </c>
      <c r="T32" s="308"/>
      <c r="U32" s="309" t="s">
        <v>184</v>
      </c>
      <c r="V32" s="308"/>
      <c r="W32" s="309" t="s">
        <v>183</v>
      </c>
      <c r="X32" s="308"/>
      <c r="Y32" s="309" t="s">
        <v>185</v>
      </c>
      <c r="Z32" s="309" t="s">
        <v>186</v>
      </c>
      <c r="AA32" s="309" t="str">
        <f t="shared" si="21"/>
        <v/>
      </c>
      <c r="AB32" s="305" t="s">
        <v>187</v>
      </c>
      <c r="AC32" s="306" t="str">
        <f t="shared" si="10"/>
        <v/>
      </c>
      <c r="AD32" s="507"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48" t="str">
        <f>IFERROR(VLOOKUP(K32,【参考】数式用!$A$2:$N$57,14,FALSE),"")</f>
        <v/>
      </c>
      <c r="AP32" s="548" t="str">
        <f t="shared" si="1"/>
        <v/>
      </c>
      <c r="AQ32" s="552" t="str">
        <f t="shared" si="2"/>
        <v/>
      </c>
      <c r="AR32" s="531" t="str">
        <f t="shared" si="3"/>
        <v>入力済</v>
      </c>
      <c r="AS32" s="548" t="str">
        <f t="shared" si="12"/>
        <v/>
      </c>
      <c r="AT32" s="531" t="str">
        <f t="shared" si="4"/>
        <v>入力済</v>
      </c>
      <c r="AU32" s="531" t="str">
        <f t="shared" si="13"/>
        <v/>
      </c>
      <c r="AV32" s="531" t="str">
        <f t="shared" si="5"/>
        <v/>
      </c>
      <c r="AW32" s="548" t="str">
        <f t="shared" si="6"/>
        <v/>
      </c>
      <c r="AX32" s="548" t="str">
        <f t="shared" si="14"/>
        <v/>
      </c>
      <c r="AY32" s="531" t="str">
        <f>IFERROR(VLOOKUP(K32,【参考】数式用!$AR$5:$AS$39,2, FALSE), "")</f>
        <v/>
      </c>
      <c r="AZ32" s="548" t="str">
        <f t="shared" si="15"/>
        <v/>
      </c>
      <c r="BA32" s="551" t="str">
        <f t="shared" si="7"/>
        <v>入力済</v>
      </c>
      <c r="BB32" s="531" t="str">
        <f>IFERROR(VLOOKUP(K32,【参考】数式用!$AX$3:$AY$59, 2, FALSE), "")</f>
        <v/>
      </c>
      <c r="BC32" s="548" t="str">
        <f t="shared" si="16"/>
        <v/>
      </c>
      <c r="BD32" s="551" t="str">
        <f t="shared" si="8"/>
        <v>入力済</v>
      </c>
      <c r="BE32" s="565" t="str">
        <f t="shared" si="17"/>
        <v/>
      </c>
      <c r="BF32" s="551" t="str">
        <f t="shared" si="9"/>
        <v/>
      </c>
      <c r="BG32" s="592"/>
      <c r="BH32" s="531" t="str">
        <f t="shared" si="18"/>
        <v/>
      </c>
      <c r="BI32" s="596" t="str">
        <f>IF(BH32="Ⅱロ有り",ROUNDDOWN(L32*VLOOKUP(K32,【参考】数式用!$A$4:$J$42,10,FALSE)*AA32,0),"")</f>
        <v/>
      </c>
      <c r="BJ32" s="596" t="str">
        <f>IF(BH32="Ⅱロなし",ROUNDDOWN(L32*VLOOKUP(K32,【参考】数式用!$A$4:$J$42,8,FALSE)*AA32,0),"")</f>
        <v/>
      </c>
    </row>
    <row r="33" spans="1:62" s="257" customFormat="1" ht="109.9" customHeight="1" thickBot="1">
      <c r="A33" s="303">
        <v>20</v>
      </c>
      <c r="B33" s="933" t="str">
        <f>IF(基本情報入力シート!B55="","",基本情報入力シート!B55)</f>
        <v/>
      </c>
      <c r="C33" s="934"/>
      <c r="D33" s="934"/>
      <c r="E33" s="934"/>
      <c r="F33" s="935"/>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49" t="str">
        <f>IF(基本情報入力シート!AF55=0, "",基本情報入力シート!AF55)</f>
        <v/>
      </c>
      <c r="M33" s="573"/>
      <c r="N33" s="514" t="str">
        <f>IFERROR(VLOOKUP(K33,【参考】数式用!$A$2:$F$57,MATCH(M33,【参考】数式用!$C$3:$F$3,0)+2,0),"")</f>
        <v/>
      </c>
      <c r="O33" s="503"/>
      <c r="P33" s="546" t="str">
        <f>IFERROR(VLOOKUP(K33,【参考】数式用!$A$2:$F$57,MATCH(O33,【参考】数式用!$C$3:$F$3,0)+2,0),"")</f>
        <v/>
      </c>
      <c r="Q33" s="310" t="s">
        <v>118</v>
      </c>
      <c r="R33" s="308"/>
      <c r="S33" s="309" t="s">
        <v>183</v>
      </c>
      <c r="T33" s="308"/>
      <c r="U33" s="309" t="s">
        <v>184</v>
      </c>
      <c r="V33" s="308"/>
      <c r="W33" s="309" t="s">
        <v>183</v>
      </c>
      <c r="X33" s="308"/>
      <c r="Y33" s="309" t="s">
        <v>185</v>
      </c>
      <c r="Z33" s="309" t="s">
        <v>186</v>
      </c>
      <c r="AA33" s="309" t="str">
        <f t="shared" si="21"/>
        <v/>
      </c>
      <c r="AB33" s="305" t="s">
        <v>187</v>
      </c>
      <c r="AC33" s="306" t="str">
        <f t="shared" si="10"/>
        <v/>
      </c>
      <c r="AD33" s="507"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48" t="str">
        <f>IFERROR(VLOOKUP(K33,【参考】数式用!$A$2:$N$57,14,FALSE),"")</f>
        <v/>
      </c>
      <c r="AP33" s="548" t="str">
        <f t="shared" si="1"/>
        <v/>
      </c>
      <c r="AQ33" s="552" t="str">
        <f t="shared" si="2"/>
        <v/>
      </c>
      <c r="AR33" s="531" t="str">
        <f t="shared" si="3"/>
        <v>入力済</v>
      </c>
      <c r="AS33" s="548" t="str">
        <f t="shared" si="12"/>
        <v/>
      </c>
      <c r="AT33" s="531" t="str">
        <f t="shared" si="4"/>
        <v>入力済</v>
      </c>
      <c r="AU33" s="531" t="str">
        <f t="shared" si="13"/>
        <v/>
      </c>
      <c r="AV33" s="531" t="str">
        <f t="shared" si="5"/>
        <v/>
      </c>
      <c r="AW33" s="548" t="str">
        <f t="shared" si="6"/>
        <v/>
      </c>
      <c r="AX33" s="548" t="str">
        <f t="shared" si="14"/>
        <v/>
      </c>
      <c r="AY33" s="531" t="str">
        <f>IFERROR(VLOOKUP(K33,【参考】数式用!$AR$5:$AS$39,2, FALSE), "")</f>
        <v/>
      </c>
      <c r="AZ33" s="548" t="str">
        <f t="shared" si="15"/>
        <v/>
      </c>
      <c r="BA33" s="551" t="str">
        <f t="shared" si="7"/>
        <v>入力済</v>
      </c>
      <c r="BB33" s="531" t="str">
        <f>IFERROR(VLOOKUP(K33,【参考】数式用!$AX$3:$AY$59, 2, FALSE), "")</f>
        <v/>
      </c>
      <c r="BC33" s="548" t="str">
        <f t="shared" si="16"/>
        <v/>
      </c>
      <c r="BD33" s="551" t="str">
        <f t="shared" si="8"/>
        <v>入力済</v>
      </c>
      <c r="BE33" s="565" t="str">
        <f t="shared" si="17"/>
        <v/>
      </c>
      <c r="BF33" s="551" t="str">
        <f t="shared" si="9"/>
        <v/>
      </c>
      <c r="BG33" s="592"/>
      <c r="BH33" s="531" t="str">
        <f t="shared" si="18"/>
        <v/>
      </c>
      <c r="BI33" s="596" t="str">
        <f>IF(BH33="Ⅱロ有り",ROUNDDOWN(L33*VLOOKUP(K33,【参考】数式用!$A$4:$J$42,10,FALSE)*AA33,0),"")</f>
        <v/>
      </c>
      <c r="BJ33" s="596" t="str">
        <f>IF(BH33="Ⅱロなし",ROUNDDOWN(L33*VLOOKUP(K33,【参考】数式用!$A$4:$J$42,8,FALSE)*AA33,0),"")</f>
        <v/>
      </c>
    </row>
    <row r="34" spans="1:62" s="257" customFormat="1" ht="109.9" customHeight="1" thickBot="1">
      <c r="A34" s="303">
        <v>21</v>
      </c>
      <c r="B34" s="933" t="str">
        <f>IF(基本情報入力シート!B56="","",基本情報入力シート!B56)</f>
        <v/>
      </c>
      <c r="C34" s="934"/>
      <c r="D34" s="934"/>
      <c r="E34" s="934"/>
      <c r="F34" s="935"/>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49" t="str">
        <f>IF(基本情報入力シート!AF56=0, "",基本情報入力シート!AF56)</f>
        <v/>
      </c>
      <c r="M34" s="573"/>
      <c r="N34" s="514" t="str">
        <f>IFERROR(VLOOKUP(K34,【参考】数式用!$A$2:$F$57,MATCH(M34,【参考】数式用!$C$3:$F$3,0)+2,0),"")</f>
        <v/>
      </c>
      <c r="O34" s="503"/>
      <c r="P34" s="546" t="str">
        <f>IFERROR(VLOOKUP(K34,【参考】数式用!$A$2:$F$57,MATCH(O34,【参考】数式用!$C$3:$F$3,0)+2,0),"")</f>
        <v/>
      </c>
      <c r="Q34" s="310" t="s">
        <v>118</v>
      </c>
      <c r="R34" s="308"/>
      <c r="S34" s="309" t="s">
        <v>183</v>
      </c>
      <c r="T34" s="308"/>
      <c r="U34" s="309" t="s">
        <v>184</v>
      </c>
      <c r="V34" s="308"/>
      <c r="W34" s="309" t="s">
        <v>183</v>
      </c>
      <c r="X34" s="308"/>
      <c r="Y34" s="309" t="s">
        <v>185</v>
      </c>
      <c r="Z34" s="309" t="s">
        <v>186</v>
      </c>
      <c r="AA34" s="309" t="str">
        <f t="shared" si="21"/>
        <v/>
      </c>
      <c r="AB34" s="305" t="s">
        <v>187</v>
      </c>
      <c r="AC34" s="306" t="str">
        <f t="shared" si="10"/>
        <v/>
      </c>
      <c r="AD34" s="507"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48" t="str">
        <f>IFERROR(VLOOKUP(K34,【参考】数式用!$A$2:$N$57,14,FALSE),"")</f>
        <v/>
      </c>
      <c r="AP34" s="548" t="str">
        <f t="shared" si="1"/>
        <v/>
      </c>
      <c r="AQ34" s="552" t="str">
        <f t="shared" si="2"/>
        <v/>
      </c>
      <c r="AR34" s="531" t="str">
        <f t="shared" si="3"/>
        <v>入力済</v>
      </c>
      <c r="AS34" s="548" t="str">
        <f t="shared" si="12"/>
        <v/>
      </c>
      <c r="AT34" s="531" t="str">
        <f t="shared" si="4"/>
        <v>入力済</v>
      </c>
      <c r="AU34" s="531" t="str">
        <f t="shared" si="13"/>
        <v/>
      </c>
      <c r="AV34" s="531" t="str">
        <f t="shared" si="5"/>
        <v/>
      </c>
      <c r="AW34" s="548" t="str">
        <f t="shared" si="6"/>
        <v/>
      </c>
      <c r="AX34" s="548" t="str">
        <f t="shared" si="14"/>
        <v/>
      </c>
      <c r="AY34" s="531" t="str">
        <f>IFERROR(VLOOKUP(K34,【参考】数式用!$AR$5:$AS$39,2, FALSE), "")</f>
        <v/>
      </c>
      <c r="AZ34" s="548" t="str">
        <f t="shared" si="15"/>
        <v/>
      </c>
      <c r="BA34" s="551" t="str">
        <f t="shared" si="7"/>
        <v>入力済</v>
      </c>
      <c r="BB34" s="531" t="str">
        <f>IFERROR(VLOOKUP(K34,【参考】数式用!$AX$3:$AY$59, 2, FALSE), "")</f>
        <v/>
      </c>
      <c r="BC34" s="548" t="str">
        <f t="shared" si="16"/>
        <v/>
      </c>
      <c r="BD34" s="551" t="str">
        <f t="shared" si="8"/>
        <v>入力済</v>
      </c>
      <c r="BE34" s="565" t="str">
        <f t="shared" si="17"/>
        <v/>
      </c>
      <c r="BF34" s="551" t="str">
        <f t="shared" si="9"/>
        <v/>
      </c>
      <c r="BG34" s="592"/>
      <c r="BH34" s="531" t="str">
        <f t="shared" si="18"/>
        <v/>
      </c>
      <c r="BI34" s="596" t="str">
        <f>IF(BH34="Ⅱロ有り",ROUNDDOWN(L34*VLOOKUP(K34,【参考】数式用!$A$4:$J$42,10,FALSE)*AA34,0),"")</f>
        <v/>
      </c>
      <c r="BJ34" s="596" t="str">
        <f>IF(BH34="Ⅱロなし",ROUNDDOWN(L34*VLOOKUP(K34,【参考】数式用!$A$4:$J$42,8,FALSE)*AA34,0),"")</f>
        <v/>
      </c>
    </row>
    <row r="35" spans="1:62" s="257" customFormat="1" ht="109.9" customHeight="1" thickBot="1">
      <c r="A35" s="303">
        <v>22</v>
      </c>
      <c r="B35" s="933" t="str">
        <f>IF(基本情報入力シート!B57="","",基本情報入力シート!B57)</f>
        <v/>
      </c>
      <c r="C35" s="934"/>
      <c r="D35" s="934"/>
      <c r="E35" s="934"/>
      <c r="F35" s="935"/>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49" t="str">
        <f>IF(基本情報入力シート!AF57=0, "",基本情報入力シート!AF57)</f>
        <v/>
      </c>
      <c r="M35" s="573"/>
      <c r="N35" s="514" t="str">
        <f>IFERROR(VLOOKUP(K35,【参考】数式用!$A$2:$F$57,MATCH(M35,【参考】数式用!$C$3:$F$3,0)+2,0),"")</f>
        <v/>
      </c>
      <c r="O35" s="503"/>
      <c r="P35" s="546" t="str">
        <f>IFERROR(VLOOKUP(K35,【参考】数式用!$A$2:$F$57,MATCH(O35,【参考】数式用!$C$3:$F$3,0)+2,0),"")</f>
        <v/>
      </c>
      <c r="Q35" s="310" t="s">
        <v>118</v>
      </c>
      <c r="R35" s="308"/>
      <c r="S35" s="309" t="s">
        <v>183</v>
      </c>
      <c r="T35" s="308"/>
      <c r="U35" s="309" t="s">
        <v>184</v>
      </c>
      <c r="V35" s="308"/>
      <c r="W35" s="309" t="s">
        <v>183</v>
      </c>
      <c r="X35" s="308"/>
      <c r="Y35" s="309" t="s">
        <v>185</v>
      </c>
      <c r="Z35" s="309" t="s">
        <v>186</v>
      </c>
      <c r="AA35" s="309" t="str">
        <f t="shared" si="21"/>
        <v/>
      </c>
      <c r="AB35" s="305" t="s">
        <v>187</v>
      </c>
      <c r="AC35" s="306" t="str">
        <f t="shared" si="10"/>
        <v/>
      </c>
      <c r="AD35" s="507"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48" t="str">
        <f>IFERROR(VLOOKUP(K35,【参考】数式用!$A$2:$N$57,14,FALSE),"")</f>
        <v/>
      </c>
      <c r="AP35" s="548" t="str">
        <f t="shared" si="1"/>
        <v/>
      </c>
      <c r="AQ35" s="552" t="str">
        <f t="shared" si="2"/>
        <v/>
      </c>
      <c r="AR35" s="531" t="str">
        <f t="shared" si="3"/>
        <v>入力済</v>
      </c>
      <c r="AS35" s="548" t="str">
        <f t="shared" si="12"/>
        <v/>
      </c>
      <c r="AT35" s="531" t="str">
        <f t="shared" si="4"/>
        <v>入力済</v>
      </c>
      <c r="AU35" s="531" t="str">
        <f t="shared" si="13"/>
        <v/>
      </c>
      <c r="AV35" s="531" t="str">
        <f t="shared" si="5"/>
        <v/>
      </c>
      <c r="AW35" s="548" t="str">
        <f t="shared" si="6"/>
        <v/>
      </c>
      <c r="AX35" s="548" t="str">
        <f t="shared" si="14"/>
        <v/>
      </c>
      <c r="AY35" s="531" t="str">
        <f>IFERROR(VLOOKUP(K35,【参考】数式用!$AR$5:$AS$39,2, FALSE), "")</f>
        <v/>
      </c>
      <c r="AZ35" s="548" t="str">
        <f t="shared" si="15"/>
        <v/>
      </c>
      <c r="BA35" s="551" t="str">
        <f t="shared" si="7"/>
        <v>入力済</v>
      </c>
      <c r="BB35" s="531" t="str">
        <f>IFERROR(VLOOKUP(K35,【参考】数式用!$AX$3:$AY$59, 2, FALSE), "")</f>
        <v/>
      </c>
      <c r="BC35" s="548" t="str">
        <f t="shared" si="16"/>
        <v/>
      </c>
      <c r="BD35" s="551" t="str">
        <f t="shared" si="8"/>
        <v>入力済</v>
      </c>
      <c r="BE35" s="565" t="str">
        <f t="shared" si="17"/>
        <v/>
      </c>
      <c r="BF35" s="551" t="str">
        <f t="shared" si="9"/>
        <v/>
      </c>
      <c r="BG35" s="592"/>
      <c r="BH35" s="531" t="str">
        <f t="shared" si="18"/>
        <v/>
      </c>
      <c r="BI35" s="596" t="str">
        <f>IF(BH35="Ⅱロ有り",ROUNDDOWN(L35*VLOOKUP(K35,【参考】数式用!$A$4:$J$42,10,FALSE)*AA35,0),"")</f>
        <v/>
      </c>
      <c r="BJ35" s="596" t="str">
        <f>IF(BH35="Ⅱロなし",ROUNDDOWN(L35*VLOOKUP(K35,【参考】数式用!$A$4:$J$42,8,FALSE)*AA35,0),"")</f>
        <v/>
      </c>
    </row>
    <row r="36" spans="1:62" s="257" customFormat="1" ht="109.9" customHeight="1" thickBot="1">
      <c r="A36" s="303">
        <v>23</v>
      </c>
      <c r="B36" s="933" t="str">
        <f>IF(基本情報入力シート!B58="","",基本情報入力シート!B58)</f>
        <v/>
      </c>
      <c r="C36" s="934"/>
      <c r="D36" s="934"/>
      <c r="E36" s="934"/>
      <c r="F36" s="935"/>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49" t="str">
        <f>IF(基本情報入力シート!AF58=0, "",基本情報入力シート!AF58)</f>
        <v/>
      </c>
      <c r="M36" s="573"/>
      <c r="N36" s="514" t="str">
        <f>IFERROR(VLOOKUP(K36,【参考】数式用!$A$2:$F$57,MATCH(M36,【参考】数式用!$C$3:$F$3,0)+2,0),"")</f>
        <v/>
      </c>
      <c r="O36" s="503"/>
      <c r="P36" s="546" t="str">
        <f>IFERROR(VLOOKUP(K36,【参考】数式用!$A$2:$F$57,MATCH(O36,【参考】数式用!$C$3:$F$3,0)+2,0),"")</f>
        <v/>
      </c>
      <c r="Q36" s="310" t="s">
        <v>118</v>
      </c>
      <c r="R36" s="308"/>
      <c r="S36" s="309" t="s">
        <v>183</v>
      </c>
      <c r="T36" s="308"/>
      <c r="U36" s="309" t="s">
        <v>184</v>
      </c>
      <c r="V36" s="308"/>
      <c r="W36" s="309" t="s">
        <v>183</v>
      </c>
      <c r="X36" s="308"/>
      <c r="Y36" s="309" t="s">
        <v>185</v>
      </c>
      <c r="Z36" s="309" t="s">
        <v>186</v>
      </c>
      <c r="AA36" s="309" t="str">
        <f t="shared" si="21"/>
        <v/>
      </c>
      <c r="AB36" s="305" t="s">
        <v>187</v>
      </c>
      <c r="AC36" s="306" t="str">
        <f t="shared" si="10"/>
        <v/>
      </c>
      <c r="AD36" s="507"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48" t="str">
        <f>IFERROR(VLOOKUP(K36,【参考】数式用!$A$2:$N$57,14,FALSE),"")</f>
        <v/>
      </c>
      <c r="AP36" s="548" t="str">
        <f t="shared" si="1"/>
        <v/>
      </c>
      <c r="AQ36" s="552" t="str">
        <f t="shared" si="2"/>
        <v/>
      </c>
      <c r="AR36" s="531" t="str">
        <f t="shared" si="3"/>
        <v>入力済</v>
      </c>
      <c r="AS36" s="548" t="str">
        <f t="shared" si="12"/>
        <v/>
      </c>
      <c r="AT36" s="531" t="str">
        <f t="shared" si="4"/>
        <v>入力済</v>
      </c>
      <c r="AU36" s="531" t="str">
        <f t="shared" si="13"/>
        <v/>
      </c>
      <c r="AV36" s="531" t="str">
        <f t="shared" si="5"/>
        <v/>
      </c>
      <c r="AW36" s="548" t="str">
        <f t="shared" si="6"/>
        <v/>
      </c>
      <c r="AX36" s="548" t="str">
        <f t="shared" si="14"/>
        <v/>
      </c>
      <c r="AY36" s="531" t="str">
        <f>IFERROR(VLOOKUP(K36,【参考】数式用!$AR$5:$AS$39,2, FALSE), "")</f>
        <v/>
      </c>
      <c r="AZ36" s="548" t="str">
        <f t="shared" si="15"/>
        <v/>
      </c>
      <c r="BA36" s="551" t="str">
        <f t="shared" si="7"/>
        <v>入力済</v>
      </c>
      <c r="BB36" s="531" t="str">
        <f>IFERROR(VLOOKUP(K36,【参考】数式用!$AX$3:$AY$59, 2, FALSE), "")</f>
        <v/>
      </c>
      <c r="BC36" s="548" t="str">
        <f t="shared" si="16"/>
        <v/>
      </c>
      <c r="BD36" s="551" t="str">
        <f t="shared" si="8"/>
        <v>入力済</v>
      </c>
      <c r="BE36" s="565" t="str">
        <f t="shared" si="17"/>
        <v/>
      </c>
      <c r="BF36" s="551" t="str">
        <f t="shared" si="9"/>
        <v/>
      </c>
      <c r="BG36" s="592"/>
      <c r="BH36" s="531" t="str">
        <f t="shared" si="18"/>
        <v/>
      </c>
      <c r="BI36" s="596" t="str">
        <f>IF(BH36="Ⅱロ有り",ROUNDDOWN(L36*VLOOKUP(K36,【参考】数式用!$A$4:$J$42,10,FALSE)*AA36,0),"")</f>
        <v/>
      </c>
      <c r="BJ36" s="596" t="str">
        <f>IF(BH36="Ⅱロなし",ROUNDDOWN(L36*VLOOKUP(K36,【参考】数式用!$A$4:$J$42,8,FALSE)*AA36,0),"")</f>
        <v/>
      </c>
    </row>
    <row r="37" spans="1:62" s="257" customFormat="1" ht="109.9" customHeight="1" thickBot="1">
      <c r="A37" s="303">
        <v>24</v>
      </c>
      <c r="B37" s="933" t="str">
        <f>IF(基本情報入力シート!B59="","",基本情報入力シート!B59)</f>
        <v/>
      </c>
      <c r="C37" s="934"/>
      <c r="D37" s="934"/>
      <c r="E37" s="934"/>
      <c r="F37" s="935"/>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49" t="str">
        <f>IF(基本情報入力シート!AF59=0, "",基本情報入力シート!AF59)</f>
        <v/>
      </c>
      <c r="M37" s="573"/>
      <c r="N37" s="514" t="str">
        <f>IFERROR(VLOOKUP(K37,【参考】数式用!$A$2:$F$57,MATCH(M37,【参考】数式用!$C$3:$F$3,0)+2,0),"")</f>
        <v/>
      </c>
      <c r="O37" s="503"/>
      <c r="P37" s="546" t="str">
        <f>IFERROR(VLOOKUP(K37,【参考】数式用!$A$2:$F$57,MATCH(O37,【参考】数式用!$C$3:$F$3,0)+2,0),"")</f>
        <v/>
      </c>
      <c r="Q37" s="310" t="s">
        <v>118</v>
      </c>
      <c r="R37" s="308"/>
      <c r="S37" s="309" t="s">
        <v>183</v>
      </c>
      <c r="T37" s="308"/>
      <c r="U37" s="309" t="s">
        <v>184</v>
      </c>
      <c r="V37" s="308"/>
      <c r="W37" s="309" t="s">
        <v>183</v>
      </c>
      <c r="X37" s="308"/>
      <c r="Y37" s="309" t="s">
        <v>185</v>
      </c>
      <c r="Z37" s="309" t="s">
        <v>186</v>
      </c>
      <c r="AA37" s="309" t="str">
        <f t="shared" si="21"/>
        <v/>
      </c>
      <c r="AB37" s="305" t="s">
        <v>187</v>
      </c>
      <c r="AC37" s="306" t="str">
        <f t="shared" si="10"/>
        <v/>
      </c>
      <c r="AD37" s="507"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48" t="str">
        <f>IFERROR(VLOOKUP(K37,【参考】数式用!$A$2:$N$57,14,FALSE),"")</f>
        <v/>
      </c>
      <c r="AP37" s="548" t="str">
        <f t="shared" si="1"/>
        <v/>
      </c>
      <c r="AQ37" s="552" t="str">
        <f t="shared" si="2"/>
        <v/>
      </c>
      <c r="AR37" s="531" t="str">
        <f t="shared" si="3"/>
        <v>入力済</v>
      </c>
      <c r="AS37" s="548" t="str">
        <f t="shared" si="12"/>
        <v/>
      </c>
      <c r="AT37" s="531" t="str">
        <f t="shared" si="4"/>
        <v>入力済</v>
      </c>
      <c r="AU37" s="531" t="str">
        <f t="shared" si="13"/>
        <v/>
      </c>
      <c r="AV37" s="531" t="str">
        <f t="shared" si="5"/>
        <v/>
      </c>
      <c r="AW37" s="548" t="str">
        <f t="shared" si="6"/>
        <v/>
      </c>
      <c r="AX37" s="548" t="str">
        <f t="shared" si="14"/>
        <v/>
      </c>
      <c r="AY37" s="531" t="str">
        <f>IFERROR(VLOOKUP(K37,【参考】数式用!$AR$5:$AS$39,2, FALSE), "")</f>
        <v/>
      </c>
      <c r="AZ37" s="548" t="str">
        <f t="shared" si="15"/>
        <v/>
      </c>
      <c r="BA37" s="551" t="str">
        <f t="shared" si="7"/>
        <v>入力済</v>
      </c>
      <c r="BB37" s="531" t="str">
        <f>IFERROR(VLOOKUP(K37,【参考】数式用!$AX$3:$AY$59, 2, FALSE), "")</f>
        <v/>
      </c>
      <c r="BC37" s="548" t="str">
        <f t="shared" si="16"/>
        <v/>
      </c>
      <c r="BD37" s="551" t="str">
        <f t="shared" si="8"/>
        <v>入力済</v>
      </c>
      <c r="BE37" s="565" t="str">
        <f t="shared" si="17"/>
        <v/>
      </c>
      <c r="BF37" s="551" t="str">
        <f t="shared" si="9"/>
        <v/>
      </c>
      <c r="BG37" s="592"/>
      <c r="BH37" s="531" t="str">
        <f t="shared" si="18"/>
        <v/>
      </c>
      <c r="BI37" s="596" t="str">
        <f>IF(BH37="Ⅱロ有り",ROUNDDOWN(L37*VLOOKUP(K37,【参考】数式用!$A$4:$J$42,10,FALSE)*AA37,0),"")</f>
        <v/>
      </c>
      <c r="BJ37" s="596" t="str">
        <f>IF(BH37="Ⅱロなし",ROUNDDOWN(L37*VLOOKUP(K37,【参考】数式用!$A$4:$J$42,8,FALSE)*AA37,0),"")</f>
        <v/>
      </c>
    </row>
    <row r="38" spans="1:62" s="257" customFormat="1" ht="109.9" customHeight="1" thickBot="1">
      <c r="A38" s="303">
        <v>25</v>
      </c>
      <c r="B38" s="933" t="str">
        <f>IF(基本情報入力シート!B60="","",基本情報入力シート!B60)</f>
        <v/>
      </c>
      <c r="C38" s="934"/>
      <c r="D38" s="934"/>
      <c r="E38" s="934"/>
      <c r="F38" s="935"/>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49" t="str">
        <f>IF(基本情報入力シート!AF60=0, "",基本情報入力シート!AF60)</f>
        <v/>
      </c>
      <c r="M38" s="573"/>
      <c r="N38" s="514" t="str">
        <f>IFERROR(VLOOKUP(K38,【参考】数式用!$A$2:$F$57,MATCH(M38,【参考】数式用!$C$3:$F$3,0)+2,0),"")</f>
        <v/>
      </c>
      <c r="O38" s="503"/>
      <c r="P38" s="546" t="str">
        <f>IFERROR(VLOOKUP(K38,【参考】数式用!$A$2:$F$57,MATCH(O38,【参考】数式用!$C$3:$F$3,0)+2,0),"")</f>
        <v/>
      </c>
      <c r="Q38" s="310" t="s">
        <v>118</v>
      </c>
      <c r="R38" s="308"/>
      <c r="S38" s="309" t="s">
        <v>183</v>
      </c>
      <c r="T38" s="308"/>
      <c r="U38" s="309" t="s">
        <v>184</v>
      </c>
      <c r="V38" s="308"/>
      <c r="W38" s="309" t="s">
        <v>183</v>
      </c>
      <c r="X38" s="308"/>
      <c r="Y38" s="309" t="s">
        <v>185</v>
      </c>
      <c r="Z38" s="309" t="s">
        <v>186</v>
      </c>
      <c r="AA38" s="309" t="str">
        <f t="shared" si="21"/>
        <v/>
      </c>
      <c r="AB38" s="305" t="s">
        <v>187</v>
      </c>
      <c r="AC38" s="306" t="str">
        <f t="shared" si="10"/>
        <v/>
      </c>
      <c r="AD38" s="507"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48" t="str">
        <f>IFERROR(VLOOKUP(K38,【参考】数式用!$A$2:$N$57,14,FALSE),"")</f>
        <v/>
      </c>
      <c r="AP38" s="548" t="str">
        <f t="shared" si="1"/>
        <v/>
      </c>
      <c r="AQ38" s="552" t="str">
        <f t="shared" si="2"/>
        <v/>
      </c>
      <c r="AR38" s="531" t="str">
        <f t="shared" si="3"/>
        <v>入力済</v>
      </c>
      <c r="AS38" s="548" t="str">
        <f t="shared" si="12"/>
        <v/>
      </c>
      <c r="AT38" s="531" t="str">
        <f t="shared" si="4"/>
        <v>入力済</v>
      </c>
      <c r="AU38" s="531" t="str">
        <f t="shared" si="13"/>
        <v/>
      </c>
      <c r="AV38" s="531" t="str">
        <f t="shared" si="5"/>
        <v/>
      </c>
      <c r="AW38" s="548" t="str">
        <f t="shared" si="6"/>
        <v/>
      </c>
      <c r="AX38" s="548" t="str">
        <f t="shared" si="14"/>
        <v/>
      </c>
      <c r="AY38" s="531" t="str">
        <f>IFERROR(VLOOKUP(K38,【参考】数式用!$AR$5:$AS$39,2, FALSE), "")</f>
        <v/>
      </c>
      <c r="AZ38" s="548" t="str">
        <f t="shared" si="15"/>
        <v/>
      </c>
      <c r="BA38" s="551" t="str">
        <f t="shared" si="7"/>
        <v>入力済</v>
      </c>
      <c r="BB38" s="531" t="str">
        <f>IFERROR(VLOOKUP(K38,【参考】数式用!$AX$3:$AY$59, 2, FALSE), "")</f>
        <v/>
      </c>
      <c r="BC38" s="548" t="str">
        <f t="shared" si="16"/>
        <v/>
      </c>
      <c r="BD38" s="551" t="str">
        <f t="shared" si="8"/>
        <v>入力済</v>
      </c>
      <c r="BE38" s="565" t="str">
        <f t="shared" si="17"/>
        <v/>
      </c>
      <c r="BF38" s="551" t="str">
        <f t="shared" si="9"/>
        <v/>
      </c>
      <c r="BG38" s="592"/>
      <c r="BH38" s="531" t="str">
        <f t="shared" si="18"/>
        <v/>
      </c>
      <c r="BI38" s="596" t="str">
        <f>IF(BH38="Ⅱロ有り",ROUNDDOWN(L38*VLOOKUP(K38,【参考】数式用!$A$4:$J$42,10,FALSE)*AA38,0),"")</f>
        <v/>
      </c>
      <c r="BJ38" s="596" t="str">
        <f>IF(BH38="Ⅱロなし",ROUNDDOWN(L38*VLOOKUP(K38,【参考】数式用!$A$4:$J$42,8,FALSE)*AA38,0),"")</f>
        <v/>
      </c>
    </row>
    <row r="39" spans="1:62" s="257" customFormat="1" ht="109.9" customHeight="1" thickBot="1">
      <c r="A39" s="303">
        <v>26</v>
      </c>
      <c r="B39" s="933" t="str">
        <f>IF(基本情報入力シート!B61="","",基本情報入力シート!B61)</f>
        <v/>
      </c>
      <c r="C39" s="934"/>
      <c r="D39" s="934"/>
      <c r="E39" s="934"/>
      <c r="F39" s="935"/>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49" t="str">
        <f>IF(基本情報入力シート!AF61=0, "",基本情報入力シート!AF61)</f>
        <v/>
      </c>
      <c r="M39" s="573"/>
      <c r="N39" s="514" t="str">
        <f>IFERROR(VLOOKUP(K39,【参考】数式用!$A$2:$F$57,MATCH(M39,【参考】数式用!$C$3:$F$3,0)+2,0),"")</f>
        <v/>
      </c>
      <c r="O39" s="503"/>
      <c r="P39" s="546" t="str">
        <f>IFERROR(VLOOKUP(K39,【参考】数式用!$A$2:$F$57,MATCH(O39,【参考】数式用!$C$3:$F$3,0)+2,0),"")</f>
        <v/>
      </c>
      <c r="Q39" s="310" t="s">
        <v>118</v>
      </c>
      <c r="R39" s="308"/>
      <c r="S39" s="309" t="s">
        <v>183</v>
      </c>
      <c r="T39" s="308"/>
      <c r="U39" s="309" t="s">
        <v>184</v>
      </c>
      <c r="V39" s="308"/>
      <c r="W39" s="309" t="s">
        <v>183</v>
      </c>
      <c r="X39" s="308"/>
      <c r="Y39" s="309" t="s">
        <v>185</v>
      </c>
      <c r="Z39" s="309" t="s">
        <v>186</v>
      </c>
      <c r="AA39" s="309" t="str">
        <f t="shared" si="21"/>
        <v/>
      </c>
      <c r="AB39" s="305" t="s">
        <v>187</v>
      </c>
      <c r="AC39" s="306" t="str">
        <f t="shared" si="10"/>
        <v/>
      </c>
      <c r="AD39" s="507"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48" t="str">
        <f>IFERROR(VLOOKUP(K39,【参考】数式用!$A$2:$N$57,14,FALSE),"")</f>
        <v/>
      </c>
      <c r="AP39" s="548" t="str">
        <f t="shared" si="1"/>
        <v/>
      </c>
      <c r="AQ39" s="552" t="str">
        <f t="shared" si="2"/>
        <v/>
      </c>
      <c r="AR39" s="531" t="str">
        <f t="shared" si="3"/>
        <v>入力済</v>
      </c>
      <c r="AS39" s="548" t="str">
        <f t="shared" si="12"/>
        <v/>
      </c>
      <c r="AT39" s="531" t="str">
        <f t="shared" si="4"/>
        <v>入力済</v>
      </c>
      <c r="AU39" s="531" t="str">
        <f t="shared" si="13"/>
        <v/>
      </c>
      <c r="AV39" s="531" t="str">
        <f t="shared" si="5"/>
        <v/>
      </c>
      <c r="AW39" s="548" t="str">
        <f t="shared" si="6"/>
        <v/>
      </c>
      <c r="AX39" s="548" t="str">
        <f t="shared" si="14"/>
        <v/>
      </c>
      <c r="AY39" s="531" t="str">
        <f>IFERROR(VLOOKUP(K39,【参考】数式用!$AR$5:$AS$39,2, FALSE), "")</f>
        <v/>
      </c>
      <c r="AZ39" s="548" t="str">
        <f t="shared" si="15"/>
        <v/>
      </c>
      <c r="BA39" s="551" t="str">
        <f t="shared" si="7"/>
        <v>入力済</v>
      </c>
      <c r="BB39" s="531" t="str">
        <f>IFERROR(VLOOKUP(K39,【参考】数式用!$AX$3:$AY$59, 2, FALSE), "")</f>
        <v/>
      </c>
      <c r="BC39" s="548" t="str">
        <f t="shared" si="16"/>
        <v/>
      </c>
      <c r="BD39" s="551" t="str">
        <f t="shared" si="8"/>
        <v>入力済</v>
      </c>
      <c r="BE39" s="565" t="str">
        <f t="shared" si="17"/>
        <v/>
      </c>
      <c r="BF39" s="551" t="str">
        <f t="shared" si="9"/>
        <v/>
      </c>
      <c r="BG39" s="592"/>
      <c r="BH39" s="531" t="str">
        <f t="shared" si="18"/>
        <v/>
      </c>
      <c r="BI39" s="596" t="str">
        <f>IF(BH39="Ⅱロ有り",ROUNDDOWN(L39*VLOOKUP(K39,【参考】数式用!$A$4:$J$42,10,FALSE)*AA39,0),"")</f>
        <v/>
      </c>
      <c r="BJ39" s="596" t="str">
        <f>IF(BH39="Ⅱロなし",ROUNDDOWN(L39*VLOOKUP(K39,【参考】数式用!$A$4:$J$42,8,FALSE)*AA39,0),"")</f>
        <v/>
      </c>
    </row>
    <row r="40" spans="1:62" s="257" customFormat="1" ht="109.9" customHeight="1" thickBot="1">
      <c r="A40" s="303">
        <v>27</v>
      </c>
      <c r="B40" s="933" t="str">
        <f>IF(基本情報入力シート!B62="","",基本情報入力シート!B62)</f>
        <v/>
      </c>
      <c r="C40" s="934"/>
      <c r="D40" s="934"/>
      <c r="E40" s="934"/>
      <c r="F40" s="935"/>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49" t="str">
        <f>IF(基本情報入力シート!AF62=0, "",基本情報入力シート!AF62)</f>
        <v/>
      </c>
      <c r="M40" s="573"/>
      <c r="N40" s="514" t="str">
        <f>IFERROR(VLOOKUP(K40,【参考】数式用!$A$2:$F$57,MATCH(M40,【参考】数式用!$C$3:$F$3,0)+2,0),"")</f>
        <v/>
      </c>
      <c r="O40" s="503"/>
      <c r="P40" s="546" t="str">
        <f>IFERROR(VLOOKUP(K40,【参考】数式用!$A$2:$F$57,MATCH(O40,【参考】数式用!$C$3:$F$3,0)+2,0),"")</f>
        <v/>
      </c>
      <c r="Q40" s="310" t="s">
        <v>118</v>
      </c>
      <c r="R40" s="308"/>
      <c r="S40" s="309" t="s">
        <v>183</v>
      </c>
      <c r="T40" s="308"/>
      <c r="U40" s="309" t="s">
        <v>184</v>
      </c>
      <c r="V40" s="308"/>
      <c r="W40" s="309" t="s">
        <v>183</v>
      </c>
      <c r="X40" s="308"/>
      <c r="Y40" s="309" t="s">
        <v>185</v>
      </c>
      <c r="Z40" s="309" t="s">
        <v>186</v>
      </c>
      <c r="AA40" s="309" t="str">
        <f t="shared" si="21"/>
        <v/>
      </c>
      <c r="AB40" s="305" t="s">
        <v>187</v>
      </c>
      <c r="AC40" s="306" t="str">
        <f t="shared" si="10"/>
        <v/>
      </c>
      <c r="AD40" s="507"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48" t="str">
        <f>IFERROR(VLOOKUP(K40,【参考】数式用!$A$2:$N$57,14,FALSE),"")</f>
        <v/>
      </c>
      <c r="AP40" s="548" t="str">
        <f t="shared" si="1"/>
        <v/>
      </c>
      <c r="AQ40" s="552" t="str">
        <f t="shared" si="2"/>
        <v/>
      </c>
      <c r="AR40" s="531" t="str">
        <f t="shared" si="3"/>
        <v>入力済</v>
      </c>
      <c r="AS40" s="548" t="str">
        <f t="shared" si="12"/>
        <v/>
      </c>
      <c r="AT40" s="531" t="str">
        <f t="shared" si="4"/>
        <v>入力済</v>
      </c>
      <c r="AU40" s="531" t="str">
        <f t="shared" si="13"/>
        <v/>
      </c>
      <c r="AV40" s="531" t="str">
        <f t="shared" si="5"/>
        <v/>
      </c>
      <c r="AW40" s="548" t="str">
        <f t="shared" si="6"/>
        <v/>
      </c>
      <c r="AX40" s="548" t="str">
        <f t="shared" si="14"/>
        <v/>
      </c>
      <c r="AY40" s="531" t="str">
        <f>IFERROR(VLOOKUP(K40,【参考】数式用!$AR$5:$AS$39,2, FALSE), "")</f>
        <v/>
      </c>
      <c r="AZ40" s="548" t="str">
        <f t="shared" si="15"/>
        <v/>
      </c>
      <c r="BA40" s="551" t="str">
        <f t="shared" si="7"/>
        <v>入力済</v>
      </c>
      <c r="BB40" s="531" t="str">
        <f>IFERROR(VLOOKUP(K40,【参考】数式用!$AX$3:$AY$59, 2, FALSE), "")</f>
        <v/>
      </c>
      <c r="BC40" s="548" t="str">
        <f t="shared" si="16"/>
        <v/>
      </c>
      <c r="BD40" s="551" t="str">
        <f t="shared" si="8"/>
        <v>入力済</v>
      </c>
      <c r="BE40" s="565" t="str">
        <f t="shared" si="17"/>
        <v/>
      </c>
      <c r="BF40" s="551" t="str">
        <f t="shared" si="9"/>
        <v/>
      </c>
      <c r="BG40" s="592"/>
      <c r="BH40" s="531" t="str">
        <f t="shared" si="18"/>
        <v/>
      </c>
      <c r="BI40" s="596" t="str">
        <f>IF(BH40="Ⅱロ有り",ROUNDDOWN(L40*VLOOKUP(K40,【参考】数式用!$A$4:$J$42,10,FALSE)*AA40,0),"")</f>
        <v/>
      </c>
      <c r="BJ40" s="596" t="str">
        <f>IF(BH40="Ⅱロなし",ROUNDDOWN(L40*VLOOKUP(K40,【参考】数式用!$A$4:$J$42,8,FALSE)*AA40,0),"")</f>
        <v/>
      </c>
    </row>
    <row r="41" spans="1:62" s="257" customFormat="1" ht="109.9" customHeight="1" thickBot="1">
      <c r="A41" s="303">
        <v>28</v>
      </c>
      <c r="B41" s="933" t="str">
        <f>IF(基本情報入力シート!B63="","",基本情報入力シート!B63)</f>
        <v/>
      </c>
      <c r="C41" s="934"/>
      <c r="D41" s="934"/>
      <c r="E41" s="934"/>
      <c r="F41" s="935"/>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49" t="str">
        <f>IF(基本情報入力シート!AF63=0, "",基本情報入力シート!AF63)</f>
        <v/>
      </c>
      <c r="M41" s="573"/>
      <c r="N41" s="514" t="str">
        <f>IFERROR(VLOOKUP(K41,【参考】数式用!$A$2:$F$57,MATCH(M41,【参考】数式用!$C$3:$F$3,0)+2,0),"")</f>
        <v/>
      </c>
      <c r="O41" s="503"/>
      <c r="P41" s="546" t="str">
        <f>IFERROR(VLOOKUP(K41,【参考】数式用!$A$2:$F$57,MATCH(O41,【参考】数式用!$C$3:$F$3,0)+2,0),"")</f>
        <v/>
      </c>
      <c r="Q41" s="310" t="s">
        <v>118</v>
      </c>
      <c r="R41" s="308"/>
      <c r="S41" s="309" t="s">
        <v>183</v>
      </c>
      <c r="T41" s="308"/>
      <c r="U41" s="309" t="s">
        <v>184</v>
      </c>
      <c r="V41" s="308"/>
      <c r="W41" s="309" t="s">
        <v>183</v>
      </c>
      <c r="X41" s="308"/>
      <c r="Y41" s="309" t="s">
        <v>185</v>
      </c>
      <c r="Z41" s="309" t="s">
        <v>186</v>
      </c>
      <c r="AA41" s="309" t="str">
        <f t="shared" si="21"/>
        <v/>
      </c>
      <c r="AB41" s="305" t="s">
        <v>187</v>
      </c>
      <c r="AC41" s="306" t="str">
        <f t="shared" si="10"/>
        <v/>
      </c>
      <c r="AD41" s="507"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48" t="str">
        <f>IFERROR(VLOOKUP(K41,【参考】数式用!$A$2:$N$57,14,FALSE),"")</f>
        <v/>
      </c>
      <c r="AP41" s="548" t="str">
        <f t="shared" si="1"/>
        <v/>
      </c>
      <c r="AQ41" s="552" t="str">
        <f t="shared" si="2"/>
        <v/>
      </c>
      <c r="AR41" s="531" t="str">
        <f t="shared" si="3"/>
        <v>入力済</v>
      </c>
      <c r="AS41" s="548" t="str">
        <f t="shared" si="12"/>
        <v/>
      </c>
      <c r="AT41" s="531" t="str">
        <f t="shared" si="4"/>
        <v>入力済</v>
      </c>
      <c r="AU41" s="531" t="str">
        <f t="shared" si="13"/>
        <v/>
      </c>
      <c r="AV41" s="531" t="str">
        <f t="shared" si="5"/>
        <v/>
      </c>
      <c r="AW41" s="548" t="str">
        <f t="shared" si="6"/>
        <v/>
      </c>
      <c r="AX41" s="548" t="str">
        <f t="shared" si="14"/>
        <v/>
      </c>
      <c r="AY41" s="531" t="str">
        <f>IFERROR(VLOOKUP(K41,【参考】数式用!$AR$5:$AS$39,2, FALSE), "")</f>
        <v/>
      </c>
      <c r="AZ41" s="548" t="str">
        <f t="shared" si="15"/>
        <v/>
      </c>
      <c r="BA41" s="551" t="str">
        <f t="shared" si="7"/>
        <v>入力済</v>
      </c>
      <c r="BB41" s="531" t="str">
        <f>IFERROR(VLOOKUP(K41,【参考】数式用!$AX$3:$AY$59, 2, FALSE), "")</f>
        <v/>
      </c>
      <c r="BC41" s="548" t="str">
        <f t="shared" si="16"/>
        <v/>
      </c>
      <c r="BD41" s="551" t="str">
        <f t="shared" si="8"/>
        <v>入力済</v>
      </c>
      <c r="BE41" s="565" t="str">
        <f t="shared" si="17"/>
        <v/>
      </c>
      <c r="BF41" s="551" t="str">
        <f t="shared" si="9"/>
        <v/>
      </c>
      <c r="BG41" s="592"/>
      <c r="BH41" s="531" t="str">
        <f t="shared" si="18"/>
        <v/>
      </c>
      <c r="BI41" s="596" t="str">
        <f>IF(BH41="Ⅱロ有り",ROUNDDOWN(L41*VLOOKUP(K41,【参考】数式用!$A$4:$J$42,10,FALSE)*AA41,0),"")</f>
        <v/>
      </c>
      <c r="BJ41" s="596" t="str">
        <f>IF(BH41="Ⅱロなし",ROUNDDOWN(L41*VLOOKUP(K41,【参考】数式用!$A$4:$J$42,8,FALSE)*AA41,0),"")</f>
        <v/>
      </c>
    </row>
    <row r="42" spans="1:62" ht="109.9" customHeight="1" thickBot="1">
      <c r="A42" s="303">
        <v>29</v>
      </c>
      <c r="B42" s="933" t="str">
        <f>IF(基本情報入力シート!B64="","",基本情報入力シート!B64)</f>
        <v/>
      </c>
      <c r="C42" s="934"/>
      <c r="D42" s="934"/>
      <c r="E42" s="934"/>
      <c r="F42" s="935"/>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49" t="str">
        <f>IF(基本情報入力シート!AF64=0, "",基本情報入力シート!AF64)</f>
        <v/>
      </c>
      <c r="M42" s="573"/>
      <c r="N42" s="514" t="str">
        <f>IFERROR(VLOOKUP(K42,【参考】数式用!$A$2:$F$57,MATCH(M42,【参考】数式用!$C$3:$F$3,0)+2,0),"")</f>
        <v/>
      </c>
      <c r="O42" s="503"/>
      <c r="P42" s="546" t="str">
        <f>IFERROR(VLOOKUP(K42,【参考】数式用!$A$2:$F$57,MATCH(O42,【参考】数式用!$C$3:$F$3,0)+2,0),"")</f>
        <v/>
      </c>
      <c r="Q42" s="310" t="s">
        <v>118</v>
      </c>
      <c r="R42" s="308"/>
      <c r="S42" s="309" t="s">
        <v>183</v>
      </c>
      <c r="T42" s="308"/>
      <c r="U42" s="309" t="s">
        <v>184</v>
      </c>
      <c r="V42" s="308"/>
      <c r="W42" s="309" t="s">
        <v>183</v>
      </c>
      <c r="X42" s="308"/>
      <c r="Y42" s="309" t="s">
        <v>185</v>
      </c>
      <c r="Z42" s="309" t="s">
        <v>186</v>
      </c>
      <c r="AA42" s="309" t="str">
        <f t="shared" si="21"/>
        <v/>
      </c>
      <c r="AB42" s="305" t="s">
        <v>187</v>
      </c>
      <c r="AC42" s="306" t="str">
        <f t="shared" si="10"/>
        <v/>
      </c>
      <c r="AD42" s="507"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48" t="str">
        <f>IFERROR(VLOOKUP(K42,【参考】数式用!$A$2:$N$57,14,FALSE),"")</f>
        <v/>
      </c>
      <c r="AP42" s="548" t="str">
        <f t="shared" si="1"/>
        <v/>
      </c>
      <c r="AQ42" s="552" t="str">
        <f t="shared" si="2"/>
        <v/>
      </c>
      <c r="AR42" s="531" t="str">
        <f t="shared" si="3"/>
        <v>入力済</v>
      </c>
      <c r="AS42" s="548" t="str">
        <f t="shared" si="12"/>
        <v/>
      </c>
      <c r="AT42" s="531" t="str">
        <f t="shared" si="4"/>
        <v>入力済</v>
      </c>
      <c r="AU42" s="531" t="str">
        <f t="shared" si="13"/>
        <v/>
      </c>
      <c r="AV42" s="531" t="str">
        <f t="shared" si="5"/>
        <v/>
      </c>
      <c r="AW42" s="548" t="str">
        <f t="shared" si="6"/>
        <v/>
      </c>
      <c r="AX42" s="548" t="str">
        <f t="shared" si="14"/>
        <v/>
      </c>
      <c r="AY42" s="531" t="str">
        <f>IFERROR(VLOOKUP(K42,【参考】数式用!$AR$5:$AS$39,2, FALSE), "")</f>
        <v/>
      </c>
      <c r="AZ42" s="548" t="str">
        <f t="shared" si="15"/>
        <v/>
      </c>
      <c r="BA42" s="551" t="str">
        <f t="shared" si="7"/>
        <v>入力済</v>
      </c>
      <c r="BB42" s="531" t="str">
        <f>IFERROR(VLOOKUP(K42,【参考】数式用!$AX$3:$AY$59, 2, FALSE), "")</f>
        <v/>
      </c>
      <c r="BC42" s="548" t="str">
        <f t="shared" si="16"/>
        <v/>
      </c>
      <c r="BD42" s="551" t="str">
        <f t="shared" si="8"/>
        <v>入力済</v>
      </c>
      <c r="BE42" s="565" t="str">
        <f t="shared" si="17"/>
        <v/>
      </c>
      <c r="BF42" s="551" t="str">
        <f t="shared" si="9"/>
        <v/>
      </c>
      <c r="BG42" s="577"/>
      <c r="BH42" s="531" t="str">
        <f t="shared" si="18"/>
        <v/>
      </c>
      <c r="BI42" s="596" t="str">
        <f>IF(BH42="Ⅱロ有り",ROUNDDOWN(L42*VLOOKUP(K42,【参考】数式用!$A$4:$J$42,10,FALSE)*AA42,0),"")</f>
        <v/>
      </c>
      <c r="BJ42" s="596" t="str">
        <f>IF(BH42="Ⅱロなし",ROUNDDOWN(L42*VLOOKUP(K42,【参考】数式用!$A$4:$J$42,8,FALSE)*AA42,0),"")</f>
        <v/>
      </c>
    </row>
    <row r="43" spans="1:62" ht="109.9" customHeight="1" thickBot="1">
      <c r="A43" s="303">
        <v>30</v>
      </c>
      <c r="B43" s="933" t="str">
        <f>IF(基本情報入力シート!B65="","",基本情報入力シート!B65)</f>
        <v/>
      </c>
      <c r="C43" s="934"/>
      <c r="D43" s="934"/>
      <c r="E43" s="934"/>
      <c r="F43" s="935"/>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49" t="str">
        <f>IF(基本情報入力シート!AF65=0, "",基本情報入力シート!AF65)</f>
        <v/>
      </c>
      <c r="M43" s="573"/>
      <c r="N43" s="514" t="str">
        <f>IFERROR(VLOOKUP(K43,【参考】数式用!$A$2:$F$57,MATCH(M43,【参考】数式用!$C$3:$F$3,0)+2,0),"")</f>
        <v/>
      </c>
      <c r="O43" s="503"/>
      <c r="P43" s="546" t="str">
        <f>IFERROR(VLOOKUP(K43,【参考】数式用!$A$2:$F$57,MATCH(O43,【参考】数式用!$C$3:$F$3,0)+2,0),"")</f>
        <v/>
      </c>
      <c r="Q43" s="310" t="s">
        <v>118</v>
      </c>
      <c r="R43" s="308"/>
      <c r="S43" s="309" t="s">
        <v>183</v>
      </c>
      <c r="T43" s="308"/>
      <c r="U43" s="309" t="s">
        <v>184</v>
      </c>
      <c r="V43" s="308"/>
      <c r="W43" s="309" t="s">
        <v>183</v>
      </c>
      <c r="X43" s="308"/>
      <c r="Y43" s="309" t="s">
        <v>185</v>
      </c>
      <c r="Z43" s="309" t="s">
        <v>186</v>
      </c>
      <c r="AA43" s="309" t="str">
        <f t="shared" si="21"/>
        <v/>
      </c>
      <c r="AB43" s="305" t="s">
        <v>187</v>
      </c>
      <c r="AC43" s="306" t="str">
        <f t="shared" si="10"/>
        <v/>
      </c>
      <c r="AD43" s="507"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48" t="str">
        <f>IFERROR(VLOOKUP(K43,【参考】数式用!$A$2:$N$57,14,FALSE),"")</f>
        <v/>
      </c>
      <c r="AP43" s="548" t="str">
        <f t="shared" si="1"/>
        <v/>
      </c>
      <c r="AQ43" s="552" t="str">
        <f t="shared" si="2"/>
        <v/>
      </c>
      <c r="AR43" s="531" t="str">
        <f t="shared" si="3"/>
        <v>入力済</v>
      </c>
      <c r="AS43" s="548" t="str">
        <f t="shared" si="12"/>
        <v/>
      </c>
      <c r="AT43" s="531" t="str">
        <f t="shared" si="4"/>
        <v>入力済</v>
      </c>
      <c r="AU43" s="531" t="str">
        <f t="shared" si="13"/>
        <v/>
      </c>
      <c r="AV43" s="531" t="str">
        <f t="shared" si="5"/>
        <v/>
      </c>
      <c r="AW43" s="548" t="str">
        <f t="shared" si="6"/>
        <v/>
      </c>
      <c r="AX43" s="548" t="str">
        <f t="shared" si="14"/>
        <v/>
      </c>
      <c r="AY43" s="531" t="str">
        <f>IFERROR(VLOOKUP(K43,【参考】数式用!$AR$5:$AS$39,2, FALSE), "")</f>
        <v/>
      </c>
      <c r="AZ43" s="548" t="str">
        <f t="shared" si="15"/>
        <v/>
      </c>
      <c r="BA43" s="551" t="str">
        <f t="shared" si="7"/>
        <v>入力済</v>
      </c>
      <c r="BB43" s="531" t="str">
        <f>IFERROR(VLOOKUP(K43,【参考】数式用!$AX$3:$AY$59, 2, FALSE), "")</f>
        <v/>
      </c>
      <c r="BC43" s="548" t="str">
        <f t="shared" si="16"/>
        <v/>
      </c>
      <c r="BD43" s="551" t="str">
        <f t="shared" si="8"/>
        <v>入力済</v>
      </c>
      <c r="BE43" s="565" t="str">
        <f t="shared" si="17"/>
        <v/>
      </c>
      <c r="BF43" s="551" t="str">
        <f t="shared" si="9"/>
        <v/>
      </c>
      <c r="BG43" s="577"/>
      <c r="BH43" s="531" t="str">
        <f t="shared" si="18"/>
        <v/>
      </c>
      <c r="BI43" s="596" t="str">
        <f>IF(BH43="Ⅱロ有り",ROUNDDOWN(L43*VLOOKUP(K43,【参考】数式用!$A$4:$J$42,10,FALSE)*AA43,0),"")</f>
        <v/>
      </c>
      <c r="BJ43" s="596" t="str">
        <f>IF(BH43="Ⅱロなし",ROUNDDOWN(L43*VLOOKUP(K43,【参考】数式用!$A$4:$J$42,8,FALSE)*AA43,0),"")</f>
        <v/>
      </c>
    </row>
    <row r="44" spans="1:62" ht="109.9" customHeight="1" thickBot="1">
      <c r="A44" s="303">
        <v>31</v>
      </c>
      <c r="B44" s="933" t="str">
        <f>IF(基本情報入力シート!B66="","",基本情報入力シート!B66)</f>
        <v/>
      </c>
      <c r="C44" s="934"/>
      <c r="D44" s="934"/>
      <c r="E44" s="934"/>
      <c r="F44" s="935"/>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49" t="str">
        <f>IF(基本情報入力シート!AF66=0, "",基本情報入力シート!AF66)</f>
        <v/>
      </c>
      <c r="M44" s="573"/>
      <c r="N44" s="514" t="str">
        <f>IFERROR(VLOOKUP(K44,【参考】数式用!$A$2:$F$57,MATCH(M44,【参考】数式用!$C$3:$F$3,0)+2,0),"")</f>
        <v/>
      </c>
      <c r="O44" s="503"/>
      <c r="P44" s="546" t="str">
        <f>IFERROR(VLOOKUP(K44,【参考】数式用!$A$2:$F$57,MATCH(O44,【参考】数式用!$C$3:$F$3,0)+2,0),"")</f>
        <v/>
      </c>
      <c r="Q44" s="310" t="s">
        <v>118</v>
      </c>
      <c r="R44" s="308"/>
      <c r="S44" s="309" t="s">
        <v>183</v>
      </c>
      <c r="T44" s="308"/>
      <c r="U44" s="309" t="s">
        <v>184</v>
      </c>
      <c r="V44" s="308"/>
      <c r="W44" s="309" t="s">
        <v>183</v>
      </c>
      <c r="X44" s="308"/>
      <c r="Y44" s="309" t="s">
        <v>185</v>
      </c>
      <c r="Z44" s="309" t="s">
        <v>186</v>
      </c>
      <c r="AA44" s="309" t="str">
        <f t="shared" si="21"/>
        <v/>
      </c>
      <c r="AB44" s="305" t="s">
        <v>187</v>
      </c>
      <c r="AC44" s="306" t="str">
        <f t="shared" si="10"/>
        <v/>
      </c>
      <c r="AD44" s="507"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48" t="str">
        <f>IFERROR(VLOOKUP(K44,【参考】数式用!$A$2:$N$57,14,FALSE),"")</f>
        <v/>
      </c>
      <c r="AP44" s="548" t="str">
        <f t="shared" si="1"/>
        <v/>
      </c>
      <c r="AQ44" s="552" t="str">
        <f t="shared" si="2"/>
        <v/>
      </c>
      <c r="AR44" s="531" t="str">
        <f t="shared" si="3"/>
        <v>入力済</v>
      </c>
      <c r="AS44" s="548" t="str">
        <f t="shared" si="12"/>
        <v/>
      </c>
      <c r="AT44" s="531" t="str">
        <f t="shared" si="4"/>
        <v>入力済</v>
      </c>
      <c r="AU44" s="531" t="str">
        <f t="shared" si="13"/>
        <v/>
      </c>
      <c r="AV44" s="531" t="str">
        <f t="shared" si="5"/>
        <v/>
      </c>
      <c r="AW44" s="548" t="str">
        <f t="shared" si="6"/>
        <v/>
      </c>
      <c r="AX44" s="548" t="str">
        <f t="shared" si="14"/>
        <v/>
      </c>
      <c r="AY44" s="531" t="str">
        <f>IFERROR(VLOOKUP(K44,【参考】数式用!$AR$5:$AS$39,2, FALSE), "")</f>
        <v/>
      </c>
      <c r="AZ44" s="548" t="str">
        <f t="shared" si="15"/>
        <v/>
      </c>
      <c r="BA44" s="551" t="str">
        <f t="shared" si="7"/>
        <v>入力済</v>
      </c>
      <c r="BB44" s="531" t="str">
        <f>IFERROR(VLOOKUP(K44,【参考】数式用!$AX$3:$AY$59, 2, FALSE), "")</f>
        <v/>
      </c>
      <c r="BC44" s="548" t="str">
        <f t="shared" si="16"/>
        <v/>
      </c>
      <c r="BD44" s="551" t="str">
        <f t="shared" si="8"/>
        <v>入力済</v>
      </c>
      <c r="BE44" s="565" t="str">
        <f t="shared" si="17"/>
        <v/>
      </c>
      <c r="BF44" s="551" t="str">
        <f t="shared" si="9"/>
        <v/>
      </c>
      <c r="BG44" s="577"/>
      <c r="BH44" s="531" t="str">
        <f t="shared" si="18"/>
        <v/>
      </c>
      <c r="BI44" s="596" t="str">
        <f>IF(BH44="Ⅱロ有り",ROUNDDOWN(L44*VLOOKUP(K44,【参考】数式用!$A$4:$J$42,10,FALSE)*AA44,0),"")</f>
        <v/>
      </c>
      <c r="BJ44" s="596" t="str">
        <f>IF(BH44="Ⅱロなし",ROUNDDOWN(L44*VLOOKUP(K44,【参考】数式用!$A$4:$J$42,8,FALSE)*AA44,0),"")</f>
        <v/>
      </c>
    </row>
    <row r="45" spans="1:62" ht="109.9" customHeight="1" thickBot="1">
      <c r="A45" s="303">
        <v>32</v>
      </c>
      <c r="B45" s="933" t="str">
        <f>IF(基本情報入力シート!B67="","",基本情報入力シート!B67)</f>
        <v/>
      </c>
      <c r="C45" s="934"/>
      <c r="D45" s="934"/>
      <c r="E45" s="934"/>
      <c r="F45" s="935"/>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49" t="str">
        <f>IF(基本情報入力シート!AF67=0, "",基本情報入力シート!AF67)</f>
        <v/>
      </c>
      <c r="M45" s="573"/>
      <c r="N45" s="514" t="str">
        <f>IFERROR(VLOOKUP(K45,【参考】数式用!$A$2:$F$57,MATCH(M45,【参考】数式用!$C$3:$F$3,0)+2,0),"")</f>
        <v/>
      </c>
      <c r="O45" s="503"/>
      <c r="P45" s="546" t="str">
        <f>IFERROR(VLOOKUP(K45,【参考】数式用!$A$2:$F$57,MATCH(O45,【参考】数式用!$C$3:$F$3,0)+2,0),"")</f>
        <v/>
      </c>
      <c r="Q45" s="310" t="s">
        <v>118</v>
      </c>
      <c r="R45" s="308"/>
      <c r="S45" s="309" t="s">
        <v>183</v>
      </c>
      <c r="T45" s="308"/>
      <c r="U45" s="309" t="s">
        <v>184</v>
      </c>
      <c r="V45" s="308"/>
      <c r="W45" s="309" t="s">
        <v>183</v>
      </c>
      <c r="X45" s="308"/>
      <c r="Y45" s="309" t="s">
        <v>185</v>
      </c>
      <c r="Z45" s="309" t="s">
        <v>186</v>
      </c>
      <c r="AA45" s="309" t="str">
        <f t="shared" si="21"/>
        <v/>
      </c>
      <c r="AB45" s="305" t="s">
        <v>187</v>
      </c>
      <c r="AC45" s="306" t="str">
        <f t="shared" si="10"/>
        <v/>
      </c>
      <c r="AD45" s="507"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48" t="str">
        <f>IFERROR(VLOOKUP(K45,【参考】数式用!$A$2:$N$57,14,FALSE),"")</f>
        <v/>
      </c>
      <c r="AP45" s="548" t="str">
        <f t="shared" ref="AP45:AP76" si="23">IF(AND(K45&lt;&gt;"",AO45="加算対象"),"N列に色付け","")</f>
        <v/>
      </c>
      <c r="AQ45" s="552" t="str">
        <f t="shared" ref="AQ45:AQ76" si="24">IF(AND(AE45&lt;&gt;0,AE45&lt;&gt;"",AO45="加算対象"),IF(AF45="○","入力済","未入力"),"")</f>
        <v/>
      </c>
      <c r="AR45" s="531" t="str">
        <f t="shared" ref="AR45:AR76" si="25">IF(AND(O45&lt;&gt;"", AG45="",AO45="加算対象"), "未入力", "入力済")</f>
        <v>入力済</v>
      </c>
      <c r="AS45" s="548" t="str">
        <f t="shared" si="12"/>
        <v/>
      </c>
      <c r="AT45" s="531" t="str">
        <f t="shared" ref="AT45:AT76" si="26">IF(AND(O45&lt;&gt;"", O45&lt;&gt;"処遇改善加算Ⅳ", AH45=""), "未入力", "入力済")</f>
        <v>入力済</v>
      </c>
      <c r="AU45" s="531" t="str">
        <f t="shared" si="13"/>
        <v/>
      </c>
      <c r="AV45" s="531" t="str">
        <f t="shared" ref="AV45:AV76" si="27">IF(AND(AO45="加算対象",O45&lt;&gt;"処遇改善加算Ⅲ",O45&lt;&gt;"処遇改善加算Ⅳ", O45&lt;&gt;"", AU45&lt;&gt;"対象外"), 1,"")</f>
        <v/>
      </c>
      <c r="AW45" s="548" t="str">
        <f t="shared" ref="AW45:AW76" si="28">IF(AND(AV45=1, OR(AI45=0,AI45=""),AO45="加算対象"),"AH列に色付け","")</f>
        <v/>
      </c>
      <c r="AX45" s="548" t="str">
        <f t="shared" si="14"/>
        <v/>
      </c>
      <c r="AY45" s="531" t="str">
        <f>IFERROR(VLOOKUP(K45,【参考】数式用!$AR$5:$AS$39,2, FALSE), "")</f>
        <v/>
      </c>
      <c r="AZ45" s="548" t="str">
        <f t="shared" si="15"/>
        <v/>
      </c>
      <c r="BA45" s="551" t="str">
        <f t="shared" ref="BA45:BA76" si="29">IF(AND(O45="処遇改善加算Ⅰ", AJ45=""), "未入力","入力済")</f>
        <v>入力済</v>
      </c>
      <c r="BB45" s="531" t="str">
        <f>IFERROR(VLOOKUP(K45,【参考】数式用!$AX$3:$AY$59, 2, FALSE), "")</f>
        <v/>
      </c>
      <c r="BC45" s="548" t="str">
        <f t="shared" si="16"/>
        <v/>
      </c>
      <c r="BD45" s="551" t="str">
        <f t="shared" ref="BD45:BD76" si="30">IF(AND(COUNTIF(AG45:AI45,"*令和８年度特例要件を*")&gt;0,AK45=""), "未入力","入力済")</f>
        <v>入力済</v>
      </c>
      <c r="BE45" s="565" t="str">
        <f t="shared" si="17"/>
        <v/>
      </c>
      <c r="BF45" s="551" t="str">
        <f t="shared" ref="BF45:BF76" si="31">G45</f>
        <v/>
      </c>
      <c r="BG45" s="577"/>
      <c r="BH45" s="531" t="str">
        <f t="shared" si="18"/>
        <v/>
      </c>
      <c r="BI45" s="596" t="str">
        <f>IF(BH45="Ⅱロ有り",ROUNDDOWN(L45*VLOOKUP(K45,【参考】数式用!$A$4:$J$42,10,FALSE)*AA45,0),"")</f>
        <v/>
      </c>
      <c r="BJ45" s="596" t="str">
        <f>IF(BH45="Ⅱロなし",ROUNDDOWN(L45*VLOOKUP(K45,【参考】数式用!$A$4:$J$42,8,FALSE)*AA45,0),"")</f>
        <v/>
      </c>
    </row>
    <row r="46" spans="1:62" ht="109.9" customHeight="1" thickBot="1">
      <c r="A46" s="303">
        <v>33</v>
      </c>
      <c r="B46" s="933" t="str">
        <f>IF(基本情報入力シート!B68="","",基本情報入力シート!B68)</f>
        <v/>
      </c>
      <c r="C46" s="934"/>
      <c r="D46" s="934"/>
      <c r="E46" s="934"/>
      <c r="F46" s="935"/>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49" t="str">
        <f>IF(基本情報入力シート!AF68=0, "",基本情報入力シート!AF68)</f>
        <v/>
      </c>
      <c r="M46" s="573"/>
      <c r="N46" s="514" t="str">
        <f>IFERROR(VLOOKUP(K46,【参考】数式用!$A$2:$F$57,MATCH(M46,【参考】数式用!$C$3:$F$3,0)+2,0),"")</f>
        <v/>
      </c>
      <c r="O46" s="503"/>
      <c r="P46" s="546" t="str">
        <f>IFERROR(VLOOKUP(K46,【参考】数式用!$A$2:$F$57,MATCH(O46,【参考】数式用!$C$3:$F$3,0)+2,0),"")</f>
        <v/>
      </c>
      <c r="Q46" s="310" t="s">
        <v>118</v>
      </c>
      <c r="R46" s="308"/>
      <c r="S46" s="309" t="s">
        <v>183</v>
      </c>
      <c r="T46" s="308"/>
      <c r="U46" s="309" t="s">
        <v>184</v>
      </c>
      <c r="V46" s="308"/>
      <c r="W46" s="309" t="s">
        <v>183</v>
      </c>
      <c r="X46" s="308"/>
      <c r="Y46" s="309" t="s">
        <v>185</v>
      </c>
      <c r="Z46" s="309" t="s">
        <v>186</v>
      </c>
      <c r="AA46" s="309" t="str">
        <f t="shared" si="21"/>
        <v/>
      </c>
      <c r="AB46" s="305" t="s">
        <v>187</v>
      </c>
      <c r="AC46" s="306" t="str">
        <f t="shared" si="10"/>
        <v/>
      </c>
      <c r="AD46" s="507"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48" t="str">
        <f>IFERROR(VLOOKUP(K46,【参考】数式用!$A$2:$N$57,14,FALSE),"")</f>
        <v/>
      </c>
      <c r="AP46" s="548" t="str">
        <f t="shared" si="23"/>
        <v/>
      </c>
      <c r="AQ46" s="552" t="str">
        <f t="shared" si="24"/>
        <v/>
      </c>
      <c r="AR46" s="531" t="str">
        <f t="shared" si="25"/>
        <v>入力済</v>
      </c>
      <c r="AS46" s="548" t="str">
        <f t="shared" si="12"/>
        <v/>
      </c>
      <c r="AT46" s="531" t="str">
        <f t="shared" si="26"/>
        <v>入力済</v>
      </c>
      <c r="AU46" s="531" t="str">
        <f t="shared" ref="AU46:AU77" si="32">IF(OR(O46="処遇改善加算Ⅰ",O46="処遇改善加算Ⅱ"),"対象","")</f>
        <v/>
      </c>
      <c r="AV46" s="531" t="str">
        <f t="shared" si="27"/>
        <v/>
      </c>
      <c r="AW46" s="548" t="str">
        <f t="shared" si="28"/>
        <v/>
      </c>
      <c r="AX46" s="548" t="str">
        <f t="shared" si="14"/>
        <v/>
      </c>
      <c r="AY46" s="531" t="str">
        <f>IFERROR(VLOOKUP(K46,【参考】数式用!$AR$5:$AS$39,2, FALSE), "")</f>
        <v/>
      </c>
      <c r="AZ46" s="548" t="str">
        <f t="shared" si="15"/>
        <v/>
      </c>
      <c r="BA46" s="551" t="str">
        <f t="shared" si="29"/>
        <v>入力済</v>
      </c>
      <c r="BB46" s="531" t="str">
        <f>IFERROR(VLOOKUP(K46,【参考】数式用!$AX$3:$AY$59, 2, FALSE), "")</f>
        <v/>
      </c>
      <c r="BC46" s="548" t="str">
        <f t="shared" si="16"/>
        <v/>
      </c>
      <c r="BD46" s="551" t="str">
        <f t="shared" si="30"/>
        <v>入力済</v>
      </c>
      <c r="BE46" s="565" t="str">
        <f t="shared" si="17"/>
        <v/>
      </c>
      <c r="BF46" s="551" t="str">
        <f t="shared" si="31"/>
        <v/>
      </c>
      <c r="BG46" s="577"/>
      <c r="BH46" s="531" t="str">
        <f t="shared" si="18"/>
        <v/>
      </c>
      <c r="BI46" s="596" t="str">
        <f>IF(BH46="Ⅱロ有り",ROUNDDOWN(L46*VLOOKUP(K46,【参考】数式用!$A$4:$J$42,10,FALSE)*AA46,0),"")</f>
        <v/>
      </c>
      <c r="BJ46" s="596" t="str">
        <f>IF(BH46="Ⅱロなし",ROUNDDOWN(L46*VLOOKUP(K46,【参考】数式用!$A$4:$J$42,8,FALSE)*AA46,0),"")</f>
        <v/>
      </c>
    </row>
    <row r="47" spans="1:62" ht="109.9" customHeight="1" thickBot="1">
      <c r="A47" s="303">
        <v>34</v>
      </c>
      <c r="B47" s="933" t="str">
        <f>IF(基本情報入力シート!B69="","",基本情報入力シート!B69)</f>
        <v/>
      </c>
      <c r="C47" s="934"/>
      <c r="D47" s="934"/>
      <c r="E47" s="934"/>
      <c r="F47" s="935"/>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49" t="str">
        <f>IF(基本情報入力シート!AF69=0, "",基本情報入力シート!AF69)</f>
        <v/>
      </c>
      <c r="M47" s="573"/>
      <c r="N47" s="514" t="str">
        <f>IFERROR(VLOOKUP(K47,【参考】数式用!$A$2:$F$57,MATCH(M47,【参考】数式用!$C$3:$F$3,0)+2,0),"")</f>
        <v/>
      </c>
      <c r="O47" s="503"/>
      <c r="P47" s="546" t="str">
        <f>IFERROR(VLOOKUP(K47,【参考】数式用!$A$2:$F$57,MATCH(O47,【参考】数式用!$C$3:$F$3,0)+2,0),"")</f>
        <v/>
      </c>
      <c r="Q47" s="310" t="s">
        <v>118</v>
      </c>
      <c r="R47" s="308"/>
      <c r="S47" s="309" t="s">
        <v>183</v>
      </c>
      <c r="T47" s="308"/>
      <c r="U47" s="309" t="s">
        <v>184</v>
      </c>
      <c r="V47" s="308"/>
      <c r="W47" s="309" t="s">
        <v>183</v>
      </c>
      <c r="X47" s="308"/>
      <c r="Y47" s="309" t="s">
        <v>185</v>
      </c>
      <c r="Z47" s="309" t="s">
        <v>186</v>
      </c>
      <c r="AA47" s="309" t="str">
        <f t="shared" si="21"/>
        <v/>
      </c>
      <c r="AB47" s="305" t="s">
        <v>187</v>
      </c>
      <c r="AC47" s="306" t="str">
        <f t="shared" si="10"/>
        <v/>
      </c>
      <c r="AD47" s="507"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48" t="str">
        <f>IFERROR(VLOOKUP(K47,【参考】数式用!$A$2:$N$57,14,FALSE),"")</f>
        <v/>
      </c>
      <c r="AP47" s="548" t="str">
        <f t="shared" si="23"/>
        <v/>
      </c>
      <c r="AQ47" s="552" t="str">
        <f t="shared" si="24"/>
        <v/>
      </c>
      <c r="AR47" s="531" t="str">
        <f t="shared" si="25"/>
        <v>入力済</v>
      </c>
      <c r="AS47" s="548" t="str">
        <f t="shared" si="12"/>
        <v/>
      </c>
      <c r="AT47" s="531" t="str">
        <f t="shared" si="26"/>
        <v>入力済</v>
      </c>
      <c r="AU47" s="531" t="str">
        <f t="shared" si="32"/>
        <v/>
      </c>
      <c r="AV47" s="531" t="str">
        <f t="shared" si="27"/>
        <v/>
      </c>
      <c r="AW47" s="548" t="str">
        <f t="shared" si="28"/>
        <v/>
      </c>
      <c r="AX47" s="548" t="str">
        <f t="shared" si="14"/>
        <v/>
      </c>
      <c r="AY47" s="531" t="str">
        <f>IFERROR(VLOOKUP(K47,【参考】数式用!$AR$5:$AS$39,2, FALSE), "")</f>
        <v/>
      </c>
      <c r="AZ47" s="548" t="str">
        <f t="shared" si="15"/>
        <v/>
      </c>
      <c r="BA47" s="551" t="str">
        <f t="shared" si="29"/>
        <v>入力済</v>
      </c>
      <c r="BB47" s="531" t="str">
        <f>IFERROR(VLOOKUP(K47,【参考】数式用!$AX$3:$AY$59, 2, FALSE), "")</f>
        <v/>
      </c>
      <c r="BC47" s="548" t="str">
        <f t="shared" si="16"/>
        <v/>
      </c>
      <c r="BD47" s="551" t="str">
        <f t="shared" si="30"/>
        <v>入力済</v>
      </c>
      <c r="BE47" s="565" t="str">
        <f t="shared" si="17"/>
        <v/>
      </c>
      <c r="BF47" s="551" t="str">
        <f t="shared" si="31"/>
        <v/>
      </c>
      <c r="BG47" s="577"/>
      <c r="BH47" s="531" t="str">
        <f t="shared" si="18"/>
        <v/>
      </c>
      <c r="BI47" s="596" t="str">
        <f>IF(BH47="Ⅱロ有り",ROUNDDOWN(L47*VLOOKUP(K47,【参考】数式用!$A$4:$J$42,10,FALSE)*AA47,0),"")</f>
        <v/>
      </c>
      <c r="BJ47" s="596" t="str">
        <f>IF(BH47="Ⅱロなし",ROUNDDOWN(L47*VLOOKUP(K47,【参考】数式用!$A$4:$J$42,8,FALSE)*AA47,0),"")</f>
        <v/>
      </c>
    </row>
    <row r="48" spans="1:62" ht="109.9" customHeight="1" thickBot="1">
      <c r="A48" s="303">
        <v>35</v>
      </c>
      <c r="B48" s="933" t="str">
        <f>IF(基本情報入力シート!B70="","",基本情報入力シート!B70)</f>
        <v/>
      </c>
      <c r="C48" s="934"/>
      <c r="D48" s="934"/>
      <c r="E48" s="934"/>
      <c r="F48" s="935"/>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49" t="str">
        <f>IF(基本情報入力シート!AF70=0, "",基本情報入力シート!AF70)</f>
        <v/>
      </c>
      <c r="M48" s="573"/>
      <c r="N48" s="514" t="str">
        <f>IFERROR(VLOOKUP(K48,【参考】数式用!$A$2:$F$57,MATCH(M48,【参考】数式用!$C$3:$F$3,0)+2,0),"")</f>
        <v/>
      </c>
      <c r="O48" s="503"/>
      <c r="P48" s="546" t="str">
        <f>IFERROR(VLOOKUP(K48,【参考】数式用!$A$2:$F$57,MATCH(O48,【参考】数式用!$C$3:$F$3,0)+2,0),"")</f>
        <v/>
      </c>
      <c r="Q48" s="310" t="s">
        <v>118</v>
      </c>
      <c r="R48" s="308"/>
      <c r="S48" s="309" t="s">
        <v>183</v>
      </c>
      <c r="T48" s="308"/>
      <c r="U48" s="309" t="s">
        <v>184</v>
      </c>
      <c r="V48" s="308"/>
      <c r="W48" s="309" t="s">
        <v>183</v>
      </c>
      <c r="X48" s="308"/>
      <c r="Y48" s="309" t="s">
        <v>185</v>
      </c>
      <c r="Z48" s="309" t="s">
        <v>186</v>
      </c>
      <c r="AA48" s="309" t="str">
        <f t="shared" si="21"/>
        <v/>
      </c>
      <c r="AB48" s="305" t="s">
        <v>187</v>
      </c>
      <c r="AC48" s="306" t="str">
        <f t="shared" si="10"/>
        <v/>
      </c>
      <c r="AD48" s="507"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48" t="str">
        <f>IFERROR(VLOOKUP(K48,【参考】数式用!$A$2:$N$57,14,FALSE),"")</f>
        <v/>
      </c>
      <c r="AP48" s="548" t="str">
        <f t="shared" si="23"/>
        <v/>
      </c>
      <c r="AQ48" s="552" t="str">
        <f t="shared" si="24"/>
        <v/>
      </c>
      <c r="AR48" s="531" t="str">
        <f t="shared" si="25"/>
        <v>入力済</v>
      </c>
      <c r="AS48" s="548" t="str">
        <f t="shared" si="12"/>
        <v/>
      </c>
      <c r="AT48" s="531" t="str">
        <f t="shared" si="26"/>
        <v>入力済</v>
      </c>
      <c r="AU48" s="531" t="str">
        <f t="shared" si="32"/>
        <v/>
      </c>
      <c r="AV48" s="531" t="str">
        <f t="shared" si="27"/>
        <v/>
      </c>
      <c r="AW48" s="548" t="str">
        <f t="shared" si="28"/>
        <v/>
      </c>
      <c r="AX48" s="548" t="str">
        <f t="shared" si="14"/>
        <v/>
      </c>
      <c r="AY48" s="531" t="str">
        <f>IFERROR(VLOOKUP(K48,【参考】数式用!$AR$5:$AS$39,2, FALSE), "")</f>
        <v/>
      </c>
      <c r="AZ48" s="548" t="str">
        <f t="shared" si="15"/>
        <v/>
      </c>
      <c r="BA48" s="551" t="str">
        <f t="shared" si="29"/>
        <v>入力済</v>
      </c>
      <c r="BB48" s="531" t="str">
        <f>IFERROR(VLOOKUP(K48,【参考】数式用!$AX$3:$AY$59, 2, FALSE), "")</f>
        <v/>
      </c>
      <c r="BC48" s="548" t="str">
        <f t="shared" si="16"/>
        <v/>
      </c>
      <c r="BD48" s="551" t="str">
        <f t="shared" si="30"/>
        <v>入力済</v>
      </c>
      <c r="BE48" s="565" t="str">
        <f t="shared" si="17"/>
        <v/>
      </c>
      <c r="BF48" s="551" t="str">
        <f t="shared" si="31"/>
        <v/>
      </c>
      <c r="BG48" s="577"/>
      <c r="BH48" s="531" t="str">
        <f t="shared" si="18"/>
        <v/>
      </c>
      <c r="BI48" s="596" t="str">
        <f>IF(BH48="Ⅱロ有り",ROUNDDOWN(L48*VLOOKUP(K48,【参考】数式用!$A$4:$J$42,10,FALSE)*AA48,0),"")</f>
        <v/>
      </c>
      <c r="BJ48" s="596" t="str">
        <f>IF(BH48="Ⅱロなし",ROUNDDOWN(L48*VLOOKUP(K48,【参考】数式用!$A$4:$J$42,8,FALSE)*AA48,0),"")</f>
        <v/>
      </c>
    </row>
    <row r="49" spans="1:62" ht="109.9" customHeight="1" thickBot="1">
      <c r="A49" s="303">
        <v>36</v>
      </c>
      <c r="B49" s="933" t="str">
        <f>IF(基本情報入力シート!B71="","",基本情報入力シート!B71)</f>
        <v/>
      </c>
      <c r="C49" s="934"/>
      <c r="D49" s="934"/>
      <c r="E49" s="934"/>
      <c r="F49" s="935"/>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49" t="str">
        <f>IF(基本情報入力シート!AF71=0, "",基本情報入力シート!AF71)</f>
        <v/>
      </c>
      <c r="M49" s="573"/>
      <c r="N49" s="514" t="str">
        <f>IFERROR(VLOOKUP(K49,【参考】数式用!$A$2:$F$57,MATCH(M49,【参考】数式用!$C$3:$F$3,0)+2,0),"")</f>
        <v/>
      </c>
      <c r="O49" s="503"/>
      <c r="P49" s="546" t="str">
        <f>IFERROR(VLOOKUP(K49,【参考】数式用!$A$2:$F$57,MATCH(O49,【参考】数式用!$C$3:$F$3,0)+2,0),"")</f>
        <v/>
      </c>
      <c r="Q49" s="310" t="s">
        <v>118</v>
      </c>
      <c r="R49" s="308"/>
      <c r="S49" s="309" t="s">
        <v>183</v>
      </c>
      <c r="T49" s="308"/>
      <c r="U49" s="309" t="s">
        <v>184</v>
      </c>
      <c r="V49" s="308"/>
      <c r="W49" s="309" t="s">
        <v>183</v>
      </c>
      <c r="X49" s="308"/>
      <c r="Y49" s="309" t="s">
        <v>185</v>
      </c>
      <c r="Z49" s="309" t="s">
        <v>186</v>
      </c>
      <c r="AA49" s="309" t="str">
        <f t="shared" si="21"/>
        <v/>
      </c>
      <c r="AB49" s="305" t="s">
        <v>187</v>
      </c>
      <c r="AC49" s="306" t="str">
        <f t="shared" si="10"/>
        <v/>
      </c>
      <c r="AD49" s="507"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48" t="str">
        <f>IFERROR(VLOOKUP(K49,【参考】数式用!$A$2:$N$57,14,FALSE),"")</f>
        <v/>
      </c>
      <c r="AP49" s="548" t="str">
        <f t="shared" si="23"/>
        <v/>
      </c>
      <c r="AQ49" s="552" t="str">
        <f t="shared" si="24"/>
        <v/>
      </c>
      <c r="AR49" s="531" t="str">
        <f t="shared" si="25"/>
        <v>入力済</v>
      </c>
      <c r="AS49" s="548" t="str">
        <f t="shared" si="12"/>
        <v/>
      </c>
      <c r="AT49" s="531" t="str">
        <f t="shared" si="26"/>
        <v>入力済</v>
      </c>
      <c r="AU49" s="531" t="str">
        <f t="shared" si="32"/>
        <v/>
      </c>
      <c r="AV49" s="531" t="str">
        <f t="shared" si="27"/>
        <v/>
      </c>
      <c r="AW49" s="548" t="str">
        <f t="shared" si="28"/>
        <v/>
      </c>
      <c r="AX49" s="548" t="str">
        <f t="shared" si="14"/>
        <v/>
      </c>
      <c r="AY49" s="531" t="str">
        <f>IFERROR(VLOOKUP(K49,【参考】数式用!$AR$5:$AS$39,2, FALSE), "")</f>
        <v/>
      </c>
      <c r="AZ49" s="548" t="str">
        <f t="shared" si="15"/>
        <v/>
      </c>
      <c r="BA49" s="551" t="str">
        <f t="shared" si="29"/>
        <v>入力済</v>
      </c>
      <c r="BB49" s="531" t="str">
        <f>IFERROR(VLOOKUP(K49,【参考】数式用!$AX$3:$AY$59, 2, FALSE), "")</f>
        <v/>
      </c>
      <c r="BC49" s="548" t="str">
        <f t="shared" si="16"/>
        <v/>
      </c>
      <c r="BD49" s="551" t="str">
        <f t="shared" si="30"/>
        <v>入力済</v>
      </c>
      <c r="BE49" s="565" t="str">
        <f t="shared" si="17"/>
        <v/>
      </c>
      <c r="BF49" s="551" t="str">
        <f t="shared" si="31"/>
        <v/>
      </c>
      <c r="BG49" s="577"/>
      <c r="BH49" s="531" t="str">
        <f t="shared" si="18"/>
        <v/>
      </c>
      <c r="BI49" s="596" t="str">
        <f>IF(BH49="Ⅱロ有り",ROUNDDOWN(L49*VLOOKUP(K49,【参考】数式用!$A$4:$J$42,10,FALSE)*AA49,0),"")</f>
        <v/>
      </c>
      <c r="BJ49" s="596" t="str">
        <f>IF(BH49="Ⅱロなし",ROUNDDOWN(L49*VLOOKUP(K49,【参考】数式用!$A$4:$J$42,8,FALSE)*AA49,0),"")</f>
        <v/>
      </c>
    </row>
    <row r="50" spans="1:62" ht="109.9" customHeight="1" thickBot="1">
      <c r="A50" s="303">
        <v>37</v>
      </c>
      <c r="B50" s="933" t="str">
        <f>IF(基本情報入力シート!B72="","",基本情報入力シート!B72)</f>
        <v/>
      </c>
      <c r="C50" s="934"/>
      <c r="D50" s="934"/>
      <c r="E50" s="934"/>
      <c r="F50" s="935"/>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49" t="str">
        <f>IF(基本情報入力シート!AF72=0, "",基本情報入力シート!AF72)</f>
        <v/>
      </c>
      <c r="M50" s="573"/>
      <c r="N50" s="514" t="str">
        <f>IFERROR(VLOOKUP(K50,【参考】数式用!$A$2:$F$57,MATCH(M50,【参考】数式用!$C$3:$F$3,0)+2,0),"")</f>
        <v/>
      </c>
      <c r="O50" s="503"/>
      <c r="P50" s="546" t="str">
        <f>IFERROR(VLOOKUP(K50,【参考】数式用!$A$2:$F$57,MATCH(O50,【参考】数式用!$C$3:$F$3,0)+2,0),"")</f>
        <v/>
      </c>
      <c r="Q50" s="310" t="s">
        <v>118</v>
      </c>
      <c r="R50" s="308"/>
      <c r="S50" s="309" t="s">
        <v>183</v>
      </c>
      <c r="T50" s="308"/>
      <c r="U50" s="309" t="s">
        <v>184</v>
      </c>
      <c r="V50" s="308"/>
      <c r="W50" s="309" t="s">
        <v>183</v>
      </c>
      <c r="X50" s="308"/>
      <c r="Y50" s="309" t="s">
        <v>185</v>
      </c>
      <c r="Z50" s="309" t="s">
        <v>186</v>
      </c>
      <c r="AA50" s="309" t="str">
        <f t="shared" si="21"/>
        <v/>
      </c>
      <c r="AB50" s="305" t="s">
        <v>187</v>
      </c>
      <c r="AC50" s="306" t="str">
        <f t="shared" si="10"/>
        <v/>
      </c>
      <c r="AD50" s="507"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48" t="str">
        <f>IFERROR(VLOOKUP(K50,【参考】数式用!$A$2:$N$57,14,FALSE),"")</f>
        <v/>
      </c>
      <c r="AP50" s="548" t="str">
        <f t="shared" si="23"/>
        <v/>
      </c>
      <c r="AQ50" s="552" t="str">
        <f t="shared" si="24"/>
        <v/>
      </c>
      <c r="AR50" s="531" t="str">
        <f t="shared" si="25"/>
        <v>入力済</v>
      </c>
      <c r="AS50" s="548" t="str">
        <f t="shared" si="12"/>
        <v/>
      </c>
      <c r="AT50" s="531" t="str">
        <f t="shared" si="26"/>
        <v>入力済</v>
      </c>
      <c r="AU50" s="531" t="str">
        <f t="shared" si="32"/>
        <v/>
      </c>
      <c r="AV50" s="531" t="str">
        <f t="shared" si="27"/>
        <v/>
      </c>
      <c r="AW50" s="548" t="str">
        <f t="shared" si="28"/>
        <v/>
      </c>
      <c r="AX50" s="548" t="str">
        <f t="shared" si="14"/>
        <v/>
      </c>
      <c r="AY50" s="531" t="str">
        <f>IFERROR(VLOOKUP(K50,【参考】数式用!$AR$5:$AS$39,2, FALSE), "")</f>
        <v/>
      </c>
      <c r="AZ50" s="548" t="str">
        <f t="shared" si="15"/>
        <v/>
      </c>
      <c r="BA50" s="551" t="str">
        <f t="shared" si="29"/>
        <v>入力済</v>
      </c>
      <c r="BB50" s="531" t="str">
        <f>IFERROR(VLOOKUP(K50,【参考】数式用!$AX$3:$AY$59, 2, FALSE), "")</f>
        <v/>
      </c>
      <c r="BC50" s="548" t="str">
        <f t="shared" si="16"/>
        <v/>
      </c>
      <c r="BD50" s="551" t="str">
        <f t="shared" si="30"/>
        <v>入力済</v>
      </c>
      <c r="BE50" s="565" t="str">
        <f t="shared" si="17"/>
        <v/>
      </c>
      <c r="BF50" s="551" t="str">
        <f t="shared" si="31"/>
        <v/>
      </c>
      <c r="BG50" s="577"/>
      <c r="BH50" s="531" t="str">
        <f t="shared" si="18"/>
        <v/>
      </c>
      <c r="BI50" s="596" t="str">
        <f>IF(BH50="Ⅱロ有り",ROUNDDOWN(L50*VLOOKUP(K50,【参考】数式用!$A$4:$J$42,10,FALSE)*AA50,0),"")</f>
        <v/>
      </c>
      <c r="BJ50" s="596" t="str">
        <f>IF(BH50="Ⅱロなし",ROUNDDOWN(L50*VLOOKUP(K50,【参考】数式用!$A$4:$J$42,8,FALSE)*AA50,0),"")</f>
        <v/>
      </c>
    </row>
    <row r="51" spans="1:62" ht="109.9" customHeight="1" thickBot="1">
      <c r="A51" s="303">
        <v>38</v>
      </c>
      <c r="B51" s="933" t="str">
        <f>IF(基本情報入力シート!B73="","",基本情報入力シート!B73)</f>
        <v/>
      </c>
      <c r="C51" s="934"/>
      <c r="D51" s="934"/>
      <c r="E51" s="934"/>
      <c r="F51" s="935"/>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49" t="str">
        <f>IF(基本情報入力シート!AF73=0, "",基本情報入力シート!AF73)</f>
        <v/>
      </c>
      <c r="M51" s="573"/>
      <c r="N51" s="514" t="str">
        <f>IFERROR(VLOOKUP(K51,【参考】数式用!$A$2:$F$57,MATCH(M51,【参考】数式用!$C$3:$F$3,0)+2,0),"")</f>
        <v/>
      </c>
      <c r="O51" s="503"/>
      <c r="P51" s="546" t="str">
        <f>IFERROR(VLOOKUP(K51,【参考】数式用!$A$2:$F$57,MATCH(O51,【参考】数式用!$C$3:$F$3,0)+2,0),"")</f>
        <v/>
      </c>
      <c r="Q51" s="310" t="s">
        <v>118</v>
      </c>
      <c r="R51" s="308"/>
      <c r="S51" s="309" t="s">
        <v>183</v>
      </c>
      <c r="T51" s="308"/>
      <c r="U51" s="309" t="s">
        <v>184</v>
      </c>
      <c r="V51" s="308"/>
      <c r="W51" s="309" t="s">
        <v>183</v>
      </c>
      <c r="X51" s="308"/>
      <c r="Y51" s="309" t="s">
        <v>185</v>
      </c>
      <c r="Z51" s="309" t="s">
        <v>186</v>
      </c>
      <c r="AA51" s="309" t="str">
        <f t="shared" si="21"/>
        <v/>
      </c>
      <c r="AB51" s="305" t="s">
        <v>187</v>
      </c>
      <c r="AC51" s="306" t="str">
        <f t="shared" si="10"/>
        <v/>
      </c>
      <c r="AD51" s="507"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48" t="str">
        <f>IFERROR(VLOOKUP(K51,【参考】数式用!$A$2:$N$57,14,FALSE),"")</f>
        <v/>
      </c>
      <c r="AP51" s="548" t="str">
        <f t="shared" si="23"/>
        <v/>
      </c>
      <c r="AQ51" s="552" t="str">
        <f t="shared" si="24"/>
        <v/>
      </c>
      <c r="AR51" s="531" t="str">
        <f t="shared" si="25"/>
        <v>入力済</v>
      </c>
      <c r="AS51" s="548" t="str">
        <f t="shared" si="12"/>
        <v/>
      </c>
      <c r="AT51" s="531" t="str">
        <f t="shared" si="26"/>
        <v>入力済</v>
      </c>
      <c r="AU51" s="531" t="str">
        <f t="shared" si="32"/>
        <v/>
      </c>
      <c r="AV51" s="531" t="str">
        <f t="shared" si="27"/>
        <v/>
      </c>
      <c r="AW51" s="548" t="str">
        <f t="shared" si="28"/>
        <v/>
      </c>
      <c r="AX51" s="548" t="str">
        <f t="shared" si="14"/>
        <v/>
      </c>
      <c r="AY51" s="531" t="str">
        <f>IFERROR(VLOOKUP(K51,【参考】数式用!$AR$5:$AS$39,2, FALSE), "")</f>
        <v/>
      </c>
      <c r="AZ51" s="548" t="str">
        <f t="shared" si="15"/>
        <v/>
      </c>
      <c r="BA51" s="551" t="str">
        <f t="shared" si="29"/>
        <v>入力済</v>
      </c>
      <c r="BB51" s="531" t="str">
        <f>IFERROR(VLOOKUP(K51,【参考】数式用!$AX$3:$AY$59, 2, FALSE), "")</f>
        <v/>
      </c>
      <c r="BC51" s="548" t="str">
        <f t="shared" si="16"/>
        <v/>
      </c>
      <c r="BD51" s="551" t="str">
        <f t="shared" si="30"/>
        <v>入力済</v>
      </c>
      <c r="BE51" s="565" t="str">
        <f t="shared" si="17"/>
        <v/>
      </c>
      <c r="BF51" s="551" t="str">
        <f t="shared" si="31"/>
        <v/>
      </c>
      <c r="BG51" s="577"/>
      <c r="BH51" s="531" t="str">
        <f t="shared" si="18"/>
        <v/>
      </c>
      <c r="BI51" s="596" t="str">
        <f>IF(BH51="Ⅱロ有り",ROUNDDOWN(L51*VLOOKUP(K51,【参考】数式用!$A$4:$J$42,10,FALSE)*AA51,0),"")</f>
        <v/>
      </c>
      <c r="BJ51" s="596" t="str">
        <f>IF(BH51="Ⅱロなし",ROUNDDOWN(L51*VLOOKUP(K51,【参考】数式用!$A$4:$J$42,8,FALSE)*AA51,0),"")</f>
        <v/>
      </c>
    </row>
    <row r="52" spans="1:62" ht="109.9" customHeight="1" thickBot="1">
      <c r="A52" s="303">
        <v>39</v>
      </c>
      <c r="B52" s="933" t="str">
        <f>IF(基本情報入力シート!B74="","",基本情報入力シート!B74)</f>
        <v/>
      </c>
      <c r="C52" s="934"/>
      <c r="D52" s="934"/>
      <c r="E52" s="934"/>
      <c r="F52" s="935"/>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49" t="str">
        <f>IF(基本情報入力シート!AF74=0, "",基本情報入力シート!AF74)</f>
        <v/>
      </c>
      <c r="M52" s="573"/>
      <c r="N52" s="514" t="str">
        <f>IFERROR(VLOOKUP(K52,【参考】数式用!$A$2:$F$57,MATCH(M52,【参考】数式用!$C$3:$F$3,0)+2,0),"")</f>
        <v/>
      </c>
      <c r="O52" s="503"/>
      <c r="P52" s="546" t="str">
        <f>IFERROR(VLOOKUP(K52,【参考】数式用!$A$2:$F$57,MATCH(O52,【参考】数式用!$C$3:$F$3,0)+2,0),"")</f>
        <v/>
      </c>
      <c r="Q52" s="310" t="s">
        <v>118</v>
      </c>
      <c r="R52" s="308"/>
      <c r="S52" s="309" t="s">
        <v>183</v>
      </c>
      <c r="T52" s="308"/>
      <c r="U52" s="309" t="s">
        <v>184</v>
      </c>
      <c r="V52" s="308"/>
      <c r="W52" s="309" t="s">
        <v>183</v>
      </c>
      <c r="X52" s="308"/>
      <c r="Y52" s="309" t="s">
        <v>185</v>
      </c>
      <c r="Z52" s="309" t="s">
        <v>186</v>
      </c>
      <c r="AA52" s="309" t="str">
        <f t="shared" si="21"/>
        <v/>
      </c>
      <c r="AB52" s="305" t="s">
        <v>187</v>
      </c>
      <c r="AC52" s="306" t="str">
        <f t="shared" si="10"/>
        <v/>
      </c>
      <c r="AD52" s="507"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48" t="str">
        <f>IFERROR(VLOOKUP(K52,【参考】数式用!$A$2:$N$57,14,FALSE),"")</f>
        <v/>
      </c>
      <c r="AP52" s="548" t="str">
        <f t="shared" si="23"/>
        <v/>
      </c>
      <c r="AQ52" s="552" t="str">
        <f t="shared" si="24"/>
        <v/>
      </c>
      <c r="AR52" s="531" t="str">
        <f t="shared" si="25"/>
        <v>入力済</v>
      </c>
      <c r="AS52" s="548" t="str">
        <f t="shared" si="12"/>
        <v/>
      </c>
      <c r="AT52" s="531" t="str">
        <f t="shared" si="26"/>
        <v>入力済</v>
      </c>
      <c r="AU52" s="531" t="str">
        <f t="shared" si="32"/>
        <v/>
      </c>
      <c r="AV52" s="531" t="str">
        <f t="shared" si="27"/>
        <v/>
      </c>
      <c r="AW52" s="548" t="str">
        <f t="shared" si="28"/>
        <v/>
      </c>
      <c r="AX52" s="548" t="str">
        <f t="shared" si="14"/>
        <v/>
      </c>
      <c r="AY52" s="531" t="str">
        <f>IFERROR(VLOOKUP(K52,【参考】数式用!$AR$5:$AS$39,2, FALSE), "")</f>
        <v/>
      </c>
      <c r="AZ52" s="548" t="str">
        <f t="shared" si="15"/>
        <v/>
      </c>
      <c r="BA52" s="551" t="str">
        <f t="shared" si="29"/>
        <v>入力済</v>
      </c>
      <c r="BB52" s="531" t="str">
        <f>IFERROR(VLOOKUP(K52,【参考】数式用!$AX$3:$AY$59, 2, FALSE), "")</f>
        <v/>
      </c>
      <c r="BC52" s="548" t="str">
        <f t="shared" si="16"/>
        <v/>
      </c>
      <c r="BD52" s="551" t="str">
        <f t="shared" si="30"/>
        <v>入力済</v>
      </c>
      <c r="BE52" s="565" t="str">
        <f t="shared" si="17"/>
        <v/>
      </c>
      <c r="BF52" s="551" t="str">
        <f t="shared" si="31"/>
        <v/>
      </c>
      <c r="BG52" s="577"/>
      <c r="BH52" s="531" t="str">
        <f t="shared" si="18"/>
        <v/>
      </c>
      <c r="BI52" s="596" t="str">
        <f>IF(BH52="Ⅱロ有り",ROUNDDOWN(L52*VLOOKUP(K52,【参考】数式用!$A$4:$J$42,10,FALSE)*AA52,0),"")</f>
        <v/>
      </c>
      <c r="BJ52" s="596" t="str">
        <f>IF(BH52="Ⅱロなし",ROUNDDOWN(L52*VLOOKUP(K52,【参考】数式用!$A$4:$J$42,8,FALSE)*AA52,0),"")</f>
        <v/>
      </c>
    </row>
    <row r="53" spans="1:62" ht="109.9" customHeight="1" thickBot="1">
      <c r="A53" s="303">
        <v>40</v>
      </c>
      <c r="B53" s="933" t="str">
        <f>IF(基本情報入力シート!B75="","",基本情報入力シート!B75)</f>
        <v/>
      </c>
      <c r="C53" s="934"/>
      <c r="D53" s="934"/>
      <c r="E53" s="934"/>
      <c r="F53" s="935"/>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49" t="str">
        <f>IF(基本情報入力シート!AF75=0, "",基本情報入力シート!AF75)</f>
        <v/>
      </c>
      <c r="M53" s="573"/>
      <c r="N53" s="514" t="str">
        <f>IFERROR(VLOOKUP(K53,【参考】数式用!$A$2:$F$57,MATCH(M53,【参考】数式用!$C$3:$F$3,0)+2,0),"")</f>
        <v/>
      </c>
      <c r="O53" s="503"/>
      <c r="P53" s="546" t="str">
        <f>IFERROR(VLOOKUP(K53,【参考】数式用!$A$2:$F$57,MATCH(O53,【参考】数式用!$C$3:$F$3,0)+2,0),"")</f>
        <v/>
      </c>
      <c r="Q53" s="310" t="s">
        <v>118</v>
      </c>
      <c r="R53" s="308"/>
      <c r="S53" s="309" t="s">
        <v>183</v>
      </c>
      <c r="T53" s="308"/>
      <c r="U53" s="309" t="s">
        <v>184</v>
      </c>
      <c r="V53" s="308"/>
      <c r="W53" s="309" t="s">
        <v>183</v>
      </c>
      <c r="X53" s="308"/>
      <c r="Y53" s="309" t="s">
        <v>185</v>
      </c>
      <c r="Z53" s="309" t="s">
        <v>186</v>
      </c>
      <c r="AA53" s="309" t="str">
        <f t="shared" si="21"/>
        <v/>
      </c>
      <c r="AB53" s="305" t="s">
        <v>187</v>
      </c>
      <c r="AC53" s="306" t="str">
        <f t="shared" si="10"/>
        <v/>
      </c>
      <c r="AD53" s="507"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48" t="str">
        <f>IFERROR(VLOOKUP(K53,【参考】数式用!$A$2:$N$57,14,FALSE),"")</f>
        <v/>
      </c>
      <c r="AP53" s="548" t="str">
        <f t="shared" si="23"/>
        <v/>
      </c>
      <c r="AQ53" s="552" t="str">
        <f t="shared" si="24"/>
        <v/>
      </c>
      <c r="AR53" s="531" t="str">
        <f t="shared" si="25"/>
        <v>入力済</v>
      </c>
      <c r="AS53" s="548" t="str">
        <f t="shared" si="12"/>
        <v/>
      </c>
      <c r="AT53" s="531" t="str">
        <f t="shared" si="26"/>
        <v>入力済</v>
      </c>
      <c r="AU53" s="531" t="str">
        <f t="shared" si="32"/>
        <v/>
      </c>
      <c r="AV53" s="531" t="str">
        <f t="shared" si="27"/>
        <v/>
      </c>
      <c r="AW53" s="548" t="str">
        <f t="shared" si="28"/>
        <v/>
      </c>
      <c r="AX53" s="548" t="str">
        <f t="shared" si="14"/>
        <v/>
      </c>
      <c r="AY53" s="531" t="str">
        <f>IFERROR(VLOOKUP(K53,【参考】数式用!$AR$5:$AS$39,2, FALSE), "")</f>
        <v/>
      </c>
      <c r="AZ53" s="548" t="str">
        <f t="shared" si="15"/>
        <v/>
      </c>
      <c r="BA53" s="551" t="str">
        <f t="shared" si="29"/>
        <v>入力済</v>
      </c>
      <c r="BB53" s="531" t="str">
        <f>IFERROR(VLOOKUP(K53,【参考】数式用!$AX$3:$AY$59, 2, FALSE), "")</f>
        <v/>
      </c>
      <c r="BC53" s="548" t="str">
        <f t="shared" si="16"/>
        <v/>
      </c>
      <c r="BD53" s="551" t="str">
        <f t="shared" si="30"/>
        <v>入力済</v>
      </c>
      <c r="BE53" s="565" t="str">
        <f t="shared" si="17"/>
        <v/>
      </c>
      <c r="BF53" s="551" t="str">
        <f t="shared" si="31"/>
        <v/>
      </c>
      <c r="BG53" s="577"/>
      <c r="BH53" s="531" t="str">
        <f t="shared" si="18"/>
        <v/>
      </c>
      <c r="BI53" s="596" t="str">
        <f>IF(BH53="Ⅱロ有り",ROUNDDOWN(L53*VLOOKUP(K53,【参考】数式用!$A$4:$J$42,10,FALSE)*AA53,0),"")</f>
        <v/>
      </c>
      <c r="BJ53" s="596" t="str">
        <f>IF(BH53="Ⅱロなし",ROUNDDOWN(L53*VLOOKUP(K53,【参考】数式用!$A$4:$J$42,8,FALSE)*AA53,0),"")</f>
        <v/>
      </c>
    </row>
    <row r="54" spans="1:62" ht="109.9" customHeight="1" thickBot="1">
      <c r="A54" s="303">
        <v>41</v>
      </c>
      <c r="B54" s="933" t="str">
        <f>IF(基本情報入力シート!B76="","",基本情報入力シート!B76)</f>
        <v/>
      </c>
      <c r="C54" s="934"/>
      <c r="D54" s="934"/>
      <c r="E54" s="934"/>
      <c r="F54" s="935"/>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49" t="str">
        <f>IF(基本情報入力シート!AF76=0, "",基本情報入力シート!AF76)</f>
        <v/>
      </c>
      <c r="M54" s="573"/>
      <c r="N54" s="514" t="str">
        <f>IFERROR(VLOOKUP(K54,【参考】数式用!$A$2:$F$57,MATCH(M54,【参考】数式用!$C$3:$F$3,0)+2,0),"")</f>
        <v/>
      </c>
      <c r="O54" s="503"/>
      <c r="P54" s="546" t="str">
        <f>IFERROR(VLOOKUP(K54,【参考】数式用!$A$2:$F$57,MATCH(O54,【参考】数式用!$C$3:$F$3,0)+2,0),"")</f>
        <v/>
      </c>
      <c r="Q54" s="310" t="s">
        <v>118</v>
      </c>
      <c r="R54" s="308"/>
      <c r="S54" s="309" t="s">
        <v>183</v>
      </c>
      <c r="T54" s="308"/>
      <c r="U54" s="309" t="s">
        <v>184</v>
      </c>
      <c r="V54" s="308"/>
      <c r="W54" s="309" t="s">
        <v>183</v>
      </c>
      <c r="X54" s="308"/>
      <c r="Y54" s="309" t="s">
        <v>185</v>
      </c>
      <c r="Z54" s="309" t="s">
        <v>186</v>
      </c>
      <c r="AA54" s="309" t="str">
        <f t="shared" si="21"/>
        <v/>
      </c>
      <c r="AB54" s="305" t="s">
        <v>187</v>
      </c>
      <c r="AC54" s="306" t="str">
        <f t="shared" si="10"/>
        <v/>
      </c>
      <c r="AD54" s="507"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48" t="str">
        <f>IFERROR(VLOOKUP(K54,【参考】数式用!$A$2:$N$57,14,FALSE),"")</f>
        <v/>
      </c>
      <c r="AP54" s="548" t="str">
        <f t="shared" si="23"/>
        <v/>
      </c>
      <c r="AQ54" s="552" t="str">
        <f t="shared" si="24"/>
        <v/>
      </c>
      <c r="AR54" s="531" t="str">
        <f t="shared" si="25"/>
        <v>入力済</v>
      </c>
      <c r="AS54" s="548" t="str">
        <f t="shared" si="12"/>
        <v/>
      </c>
      <c r="AT54" s="531" t="str">
        <f t="shared" si="26"/>
        <v>入力済</v>
      </c>
      <c r="AU54" s="531" t="str">
        <f t="shared" si="32"/>
        <v/>
      </c>
      <c r="AV54" s="531" t="str">
        <f t="shared" si="27"/>
        <v/>
      </c>
      <c r="AW54" s="548" t="str">
        <f t="shared" si="28"/>
        <v/>
      </c>
      <c r="AX54" s="548" t="str">
        <f t="shared" si="14"/>
        <v/>
      </c>
      <c r="AY54" s="531" t="str">
        <f>IFERROR(VLOOKUP(K54,【参考】数式用!$AR$5:$AS$39,2, FALSE), "")</f>
        <v/>
      </c>
      <c r="AZ54" s="548" t="str">
        <f t="shared" si="15"/>
        <v/>
      </c>
      <c r="BA54" s="551" t="str">
        <f t="shared" si="29"/>
        <v>入力済</v>
      </c>
      <c r="BB54" s="531" t="str">
        <f>IFERROR(VLOOKUP(K54,【参考】数式用!$AX$3:$AY$59, 2, FALSE), "")</f>
        <v/>
      </c>
      <c r="BC54" s="548" t="str">
        <f t="shared" si="16"/>
        <v/>
      </c>
      <c r="BD54" s="551" t="str">
        <f t="shared" si="30"/>
        <v>入力済</v>
      </c>
      <c r="BE54" s="565" t="str">
        <f t="shared" si="17"/>
        <v/>
      </c>
      <c r="BF54" s="551" t="str">
        <f t="shared" si="31"/>
        <v/>
      </c>
      <c r="BG54" s="577"/>
      <c r="BH54" s="531" t="str">
        <f t="shared" si="18"/>
        <v/>
      </c>
      <c r="BI54" s="596" t="str">
        <f>IF(BH54="Ⅱロ有り",ROUNDDOWN(L54*VLOOKUP(K54,【参考】数式用!$A$4:$J$42,10,FALSE)*AA54,0),"")</f>
        <v/>
      </c>
      <c r="BJ54" s="596" t="str">
        <f>IF(BH54="Ⅱロなし",ROUNDDOWN(L54*VLOOKUP(K54,【参考】数式用!$A$4:$J$42,8,FALSE)*AA54,0),"")</f>
        <v/>
      </c>
    </row>
    <row r="55" spans="1:62" ht="109.9" customHeight="1" thickBot="1">
      <c r="A55" s="303">
        <v>42</v>
      </c>
      <c r="B55" s="933" t="str">
        <f>IF(基本情報入力シート!B77="","",基本情報入力シート!B77)</f>
        <v/>
      </c>
      <c r="C55" s="934"/>
      <c r="D55" s="934"/>
      <c r="E55" s="934"/>
      <c r="F55" s="935"/>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49" t="str">
        <f>IF(基本情報入力シート!AF77=0, "",基本情報入力シート!AF77)</f>
        <v/>
      </c>
      <c r="M55" s="573"/>
      <c r="N55" s="514" t="str">
        <f>IFERROR(VLOOKUP(K55,【参考】数式用!$A$2:$F$57,MATCH(M55,【参考】数式用!$C$3:$F$3,0)+2,0),"")</f>
        <v/>
      </c>
      <c r="O55" s="503"/>
      <c r="P55" s="546" t="str">
        <f>IFERROR(VLOOKUP(K55,【参考】数式用!$A$2:$F$57,MATCH(O55,【参考】数式用!$C$3:$F$3,0)+2,0),"")</f>
        <v/>
      </c>
      <c r="Q55" s="310" t="s">
        <v>118</v>
      </c>
      <c r="R55" s="308"/>
      <c r="S55" s="309" t="s">
        <v>183</v>
      </c>
      <c r="T55" s="308"/>
      <c r="U55" s="309" t="s">
        <v>184</v>
      </c>
      <c r="V55" s="308"/>
      <c r="W55" s="309" t="s">
        <v>183</v>
      </c>
      <c r="X55" s="308"/>
      <c r="Y55" s="309" t="s">
        <v>185</v>
      </c>
      <c r="Z55" s="309" t="s">
        <v>186</v>
      </c>
      <c r="AA55" s="309" t="str">
        <f t="shared" si="21"/>
        <v/>
      </c>
      <c r="AB55" s="305" t="s">
        <v>187</v>
      </c>
      <c r="AC55" s="306" t="str">
        <f t="shared" si="10"/>
        <v/>
      </c>
      <c r="AD55" s="507"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48" t="str">
        <f>IFERROR(VLOOKUP(K55,【参考】数式用!$A$2:$N$57,14,FALSE),"")</f>
        <v/>
      </c>
      <c r="AP55" s="548" t="str">
        <f t="shared" si="23"/>
        <v/>
      </c>
      <c r="AQ55" s="552" t="str">
        <f t="shared" si="24"/>
        <v/>
      </c>
      <c r="AR55" s="531" t="str">
        <f t="shared" si="25"/>
        <v>入力済</v>
      </c>
      <c r="AS55" s="548" t="str">
        <f t="shared" si="12"/>
        <v/>
      </c>
      <c r="AT55" s="531" t="str">
        <f t="shared" si="26"/>
        <v>入力済</v>
      </c>
      <c r="AU55" s="531" t="str">
        <f t="shared" si="32"/>
        <v/>
      </c>
      <c r="AV55" s="531" t="str">
        <f t="shared" si="27"/>
        <v/>
      </c>
      <c r="AW55" s="548" t="str">
        <f t="shared" si="28"/>
        <v/>
      </c>
      <c r="AX55" s="548" t="str">
        <f t="shared" si="14"/>
        <v/>
      </c>
      <c r="AY55" s="531" t="str">
        <f>IFERROR(VLOOKUP(K55,【参考】数式用!$AR$5:$AS$39,2, FALSE), "")</f>
        <v/>
      </c>
      <c r="AZ55" s="548" t="str">
        <f t="shared" si="15"/>
        <v/>
      </c>
      <c r="BA55" s="551" t="str">
        <f t="shared" si="29"/>
        <v>入力済</v>
      </c>
      <c r="BB55" s="531" t="str">
        <f>IFERROR(VLOOKUP(K55,【参考】数式用!$AX$3:$AY$59, 2, FALSE), "")</f>
        <v/>
      </c>
      <c r="BC55" s="548" t="str">
        <f t="shared" si="16"/>
        <v/>
      </c>
      <c r="BD55" s="551" t="str">
        <f t="shared" si="30"/>
        <v>入力済</v>
      </c>
      <c r="BE55" s="565" t="str">
        <f t="shared" si="17"/>
        <v/>
      </c>
      <c r="BF55" s="551" t="str">
        <f t="shared" si="31"/>
        <v/>
      </c>
      <c r="BG55" s="577"/>
      <c r="BH55" s="531" t="str">
        <f t="shared" si="18"/>
        <v/>
      </c>
      <c r="BI55" s="596" t="str">
        <f>IF(BH55="Ⅱロ有り",ROUNDDOWN(L55*VLOOKUP(K55,【参考】数式用!$A$4:$J$42,10,FALSE)*AA55,0),"")</f>
        <v/>
      </c>
      <c r="BJ55" s="596" t="str">
        <f>IF(BH55="Ⅱロなし",ROUNDDOWN(L55*VLOOKUP(K55,【参考】数式用!$A$4:$J$42,8,FALSE)*AA55,0),"")</f>
        <v/>
      </c>
    </row>
    <row r="56" spans="1:62" ht="109.9" customHeight="1" thickBot="1">
      <c r="A56" s="303">
        <v>43</v>
      </c>
      <c r="B56" s="933" t="str">
        <f>IF(基本情報入力シート!B78="","",基本情報入力シート!B78)</f>
        <v/>
      </c>
      <c r="C56" s="934"/>
      <c r="D56" s="934"/>
      <c r="E56" s="934"/>
      <c r="F56" s="935"/>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49" t="str">
        <f>IF(基本情報入力シート!AF78=0, "",基本情報入力シート!AF78)</f>
        <v/>
      </c>
      <c r="M56" s="573"/>
      <c r="N56" s="514" t="str">
        <f>IFERROR(VLOOKUP(K56,【参考】数式用!$A$2:$F$57,MATCH(M56,【参考】数式用!$C$3:$F$3,0)+2,0),"")</f>
        <v/>
      </c>
      <c r="O56" s="503"/>
      <c r="P56" s="546" t="str">
        <f>IFERROR(VLOOKUP(K56,【参考】数式用!$A$2:$F$57,MATCH(O56,【参考】数式用!$C$3:$F$3,0)+2,0),"")</f>
        <v/>
      </c>
      <c r="Q56" s="310" t="s">
        <v>118</v>
      </c>
      <c r="R56" s="308"/>
      <c r="S56" s="309" t="s">
        <v>183</v>
      </c>
      <c r="T56" s="308"/>
      <c r="U56" s="309" t="s">
        <v>184</v>
      </c>
      <c r="V56" s="308"/>
      <c r="W56" s="309" t="s">
        <v>183</v>
      </c>
      <c r="X56" s="308"/>
      <c r="Y56" s="309" t="s">
        <v>185</v>
      </c>
      <c r="Z56" s="309" t="s">
        <v>186</v>
      </c>
      <c r="AA56" s="309" t="str">
        <f t="shared" si="21"/>
        <v/>
      </c>
      <c r="AB56" s="305" t="s">
        <v>187</v>
      </c>
      <c r="AC56" s="306" t="str">
        <f t="shared" si="10"/>
        <v/>
      </c>
      <c r="AD56" s="507"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48" t="str">
        <f>IFERROR(VLOOKUP(K56,【参考】数式用!$A$2:$N$57,14,FALSE),"")</f>
        <v/>
      </c>
      <c r="AP56" s="548" t="str">
        <f t="shared" si="23"/>
        <v/>
      </c>
      <c r="AQ56" s="552" t="str">
        <f t="shared" si="24"/>
        <v/>
      </c>
      <c r="AR56" s="531" t="str">
        <f t="shared" si="25"/>
        <v>入力済</v>
      </c>
      <c r="AS56" s="548" t="str">
        <f t="shared" si="12"/>
        <v/>
      </c>
      <c r="AT56" s="531" t="str">
        <f t="shared" si="26"/>
        <v>入力済</v>
      </c>
      <c r="AU56" s="531" t="str">
        <f t="shared" si="32"/>
        <v/>
      </c>
      <c r="AV56" s="531" t="str">
        <f t="shared" si="27"/>
        <v/>
      </c>
      <c r="AW56" s="548" t="str">
        <f t="shared" si="28"/>
        <v/>
      </c>
      <c r="AX56" s="548" t="str">
        <f t="shared" si="14"/>
        <v/>
      </c>
      <c r="AY56" s="531" t="str">
        <f>IFERROR(VLOOKUP(K56,【参考】数式用!$AR$5:$AS$39,2, FALSE), "")</f>
        <v/>
      </c>
      <c r="AZ56" s="548" t="str">
        <f t="shared" si="15"/>
        <v/>
      </c>
      <c r="BA56" s="551" t="str">
        <f t="shared" si="29"/>
        <v>入力済</v>
      </c>
      <c r="BB56" s="531" t="str">
        <f>IFERROR(VLOOKUP(K56,【参考】数式用!$AX$3:$AY$59, 2, FALSE), "")</f>
        <v/>
      </c>
      <c r="BC56" s="548" t="str">
        <f t="shared" si="16"/>
        <v/>
      </c>
      <c r="BD56" s="551" t="str">
        <f t="shared" si="30"/>
        <v>入力済</v>
      </c>
      <c r="BE56" s="565" t="str">
        <f t="shared" si="17"/>
        <v/>
      </c>
      <c r="BF56" s="551" t="str">
        <f t="shared" si="31"/>
        <v/>
      </c>
      <c r="BG56" s="577"/>
      <c r="BH56" s="531" t="str">
        <f t="shared" si="18"/>
        <v/>
      </c>
      <c r="BI56" s="596" t="str">
        <f>IF(BH56="Ⅱロ有り",ROUNDDOWN(L56*VLOOKUP(K56,【参考】数式用!$A$4:$J$42,10,FALSE)*AA56,0),"")</f>
        <v/>
      </c>
      <c r="BJ56" s="596" t="str">
        <f>IF(BH56="Ⅱロなし",ROUNDDOWN(L56*VLOOKUP(K56,【参考】数式用!$A$4:$J$42,8,FALSE)*AA56,0),"")</f>
        <v/>
      </c>
    </row>
    <row r="57" spans="1:62" ht="109.9" customHeight="1" thickBot="1">
      <c r="A57" s="303">
        <v>44</v>
      </c>
      <c r="B57" s="933" t="str">
        <f>IF(基本情報入力シート!B79="","",基本情報入力シート!B79)</f>
        <v/>
      </c>
      <c r="C57" s="934"/>
      <c r="D57" s="934"/>
      <c r="E57" s="934"/>
      <c r="F57" s="935"/>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49" t="str">
        <f>IF(基本情報入力シート!AF79=0, "",基本情報入力シート!AF79)</f>
        <v/>
      </c>
      <c r="M57" s="573"/>
      <c r="N57" s="514" t="str">
        <f>IFERROR(VLOOKUP(K57,【参考】数式用!$A$2:$F$57,MATCH(M57,【参考】数式用!$C$3:$F$3,0)+2,0),"")</f>
        <v/>
      </c>
      <c r="O57" s="503"/>
      <c r="P57" s="546" t="str">
        <f>IFERROR(VLOOKUP(K57,【参考】数式用!$A$2:$F$57,MATCH(O57,【参考】数式用!$C$3:$F$3,0)+2,0),"")</f>
        <v/>
      </c>
      <c r="Q57" s="310" t="s">
        <v>118</v>
      </c>
      <c r="R57" s="308"/>
      <c r="S57" s="309" t="s">
        <v>183</v>
      </c>
      <c r="T57" s="308"/>
      <c r="U57" s="309" t="s">
        <v>184</v>
      </c>
      <c r="V57" s="308"/>
      <c r="W57" s="309" t="s">
        <v>183</v>
      </c>
      <c r="X57" s="308"/>
      <c r="Y57" s="309" t="s">
        <v>185</v>
      </c>
      <c r="Z57" s="309" t="s">
        <v>186</v>
      </c>
      <c r="AA57" s="309" t="str">
        <f t="shared" si="21"/>
        <v/>
      </c>
      <c r="AB57" s="305" t="s">
        <v>187</v>
      </c>
      <c r="AC57" s="306" t="str">
        <f t="shared" si="10"/>
        <v/>
      </c>
      <c r="AD57" s="507"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48" t="str">
        <f>IFERROR(VLOOKUP(K57,【参考】数式用!$A$2:$N$57,14,FALSE),"")</f>
        <v/>
      </c>
      <c r="AP57" s="548" t="str">
        <f t="shared" si="23"/>
        <v/>
      </c>
      <c r="AQ57" s="552" t="str">
        <f t="shared" si="24"/>
        <v/>
      </c>
      <c r="AR57" s="531" t="str">
        <f t="shared" si="25"/>
        <v>入力済</v>
      </c>
      <c r="AS57" s="548" t="str">
        <f t="shared" si="12"/>
        <v/>
      </c>
      <c r="AT57" s="531" t="str">
        <f t="shared" si="26"/>
        <v>入力済</v>
      </c>
      <c r="AU57" s="531" t="str">
        <f t="shared" si="32"/>
        <v/>
      </c>
      <c r="AV57" s="531" t="str">
        <f t="shared" si="27"/>
        <v/>
      </c>
      <c r="AW57" s="548" t="str">
        <f t="shared" si="28"/>
        <v/>
      </c>
      <c r="AX57" s="548" t="str">
        <f t="shared" si="14"/>
        <v/>
      </c>
      <c r="AY57" s="531" t="str">
        <f>IFERROR(VLOOKUP(K57,【参考】数式用!$AR$5:$AS$39,2, FALSE), "")</f>
        <v/>
      </c>
      <c r="AZ57" s="548" t="str">
        <f t="shared" si="15"/>
        <v/>
      </c>
      <c r="BA57" s="551" t="str">
        <f t="shared" si="29"/>
        <v>入力済</v>
      </c>
      <c r="BB57" s="531" t="str">
        <f>IFERROR(VLOOKUP(K57,【参考】数式用!$AX$3:$AY$59, 2, FALSE), "")</f>
        <v/>
      </c>
      <c r="BC57" s="548" t="str">
        <f t="shared" si="16"/>
        <v/>
      </c>
      <c r="BD57" s="551" t="str">
        <f t="shared" si="30"/>
        <v>入力済</v>
      </c>
      <c r="BE57" s="565" t="str">
        <f t="shared" si="17"/>
        <v/>
      </c>
      <c r="BF57" s="551" t="str">
        <f t="shared" si="31"/>
        <v/>
      </c>
      <c r="BG57" s="577"/>
      <c r="BH57" s="531" t="str">
        <f t="shared" si="18"/>
        <v/>
      </c>
      <c r="BI57" s="596" t="str">
        <f>IF(BH57="Ⅱロ有り",ROUNDDOWN(L57*VLOOKUP(K57,【参考】数式用!$A$4:$J$42,10,FALSE)*AA57,0),"")</f>
        <v/>
      </c>
      <c r="BJ57" s="596" t="str">
        <f>IF(BH57="Ⅱロなし",ROUNDDOWN(L57*VLOOKUP(K57,【参考】数式用!$A$4:$J$42,8,FALSE)*AA57,0),"")</f>
        <v/>
      </c>
    </row>
    <row r="58" spans="1:62" ht="109.9" customHeight="1" thickBot="1">
      <c r="A58" s="303">
        <v>45</v>
      </c>
      <c r="B58" s="933" t="str">
        <f>IF(基本情報入力シート!B80="","",基本情報入力シート!B80)</f>
        <v/>
      </c>
      <c r="C58" s="934"/>
      <c r="D58" s="934"/>
      <c r="E58" s="934"/>
      <c r="F58" s="935"/>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49" t="str">
        <f>IF(基本情報入力シート!AF80=0, "",基本情報入力シート!AF80)</f>
        <v/>
      </c>
      <c r="M58" s="573"/>
      <c r="N58" s="514" t="str">
        <f>IFERROR(VLOOKUP(K58,【参考】数式用!$A$2:$F$57,MATCH(M58,【参考】数式用!$C$3:$F$3,0)+2,0),"")</f>
        <v/>
      </c>
      <c r="O58" s="503"/>
      <c r="P58" s="546" t="str">
        <f>IFERROR(VLOOKUP(K58,【参考】数式用!$A$2:$F$57,MATCH(O58,【参考】数式用!$C$3:$F$3,0)+2,0),"")</f>
        <v/>
      </c>
      <c r="Q58" s="310" t="s">
        <v>118</v>
      </c>
      <c r="R58" s="308"/>
      <c r="S58" s="309" t="s">
        <v>183</v>
      </c>
      <c r="T58" s="308"/>
      <c r="U58" s="309" t="s">
        <v>184</v>
      </c>
      <c r="V58" s="308"/>
      <c r="W58" s="309" t="s">
        <v>183</v>
      </c>
      <c r="X58" s="308"/>
      <c r="Y58" s="309" t="s">
        <v>185</v>
      </c>
      <c r="Z58" s="309" t="s">
        <v>186</v>
      </c>
      <c r="AA58" s="309" t="str">
        <f t="shared" si="21"/>
        <v/>
      </c>
      <c r="AB58" s="305" t="s">
        <v>187</v>
      </c>
      <c r="AC58" s="306" t="str">
        <f t="shared" si="10"/>
        <v/>
      </c>
      <c r="AD58" s="507"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48" t="str">
        <f>IFERROR(VLOOKUP(K58,【参考】数式用!$A$2:$N$57,14,FALSE),"")</f>
        <v/>
      </c>
      <c r="AP58" s="548" t="str">
        <f t="shared" si="23"/>
        <v/>
      </c>
      <c r="AQ58" s="552" t="str">
        <f t="shared" si="24"/>
        <v/>
      </c>
      <c r="AR58" s="531" t="str">
        <f t="shared" si="25"/>
        <v>入力済</v>
      </c>
      <c r="AS58" s="548" t="str">
        <f t="shared" si="12"/>
        <v/>
      </c>
      <c r="AT58" s="531" t="str">
        <f t="shared" si="26"/>
        <v>入力済</v>
      </c>
      <c r="AU58" s="531" t="str">
        <f t="shared" si="32"/>
        <v/>
      </c>
      <c r="AV58" s="531" t="str">
        <f t="shared" si="27"/>
        <v/>
      </c>
      <c r="AW58" s="548" t="str">
        <f t="shared" si="28"/>
        <v/>
      </c>
      <c r="AX58" s="548" t="str">
        <f t="shared" si="14"/>
        <v/>
      </c>
      <c r="AY58" s="531" t="str">
        <f>IFERROR(VLOOKUP(K58,【参考】数式用!$AR$5:$AS$39,2, FALSE), "")</f>
        <v/>
      </c>
      <c r="AZ58" s="548" t="str">
        <f t="shared" si="15"/>
        <v/>
      </c>
      <c r="BA58" s="551" t="str">
        <f t="shared" si="29"/>
        <v>入力済</v>
      </c>
      <c r="BB58" s="531" t="str">
        <f>IFERROR(VLOOKUP(K58,【参考】数式用!$AX$3:$AY$59, 2, FALSE), "")</f>
        <v/>
      </c>
      <c r="BC58" s="548" t="str">
        <f t="shared" si="16"/>
        <v/>
      </c>
      <c r="BD58" s="551" t="str">
        <f t="shared" si="30"/>
        <v>入力済</v>
      </c>
      <c r="BE58" s="565" t="str">
        <f t="shared" si="17"/>
        <v/>
      </c>
      <c r="BF58" s="551" t="str">
        <f t="shared" si="31"/>
        <v/>
      </c>
      <c r="BG58" s="577"/>
      <c r="BH58" s="531" t="str">
        <f t="shared" si="18"/>
        <v/>
      </c>
      <c r="BI58" s="596" t="str">
        <f>IF(BH58="Ⅱロ有り",ROUNDDOWN(L58*VLOOKUP(K58,【参考】数式用!$A$4:$J$42,10,FALSE)*AA58,0),"")</f>
        <v/>
      </c>
      <c r="BJ58" s="596" t="str">
        <f>IF(BH58="Ⅱロなし",ROUNDDOWN(L58*VLOOKUP(K58,【参考】数式用!$A$4:$J$42,8,FALSE)*AA58,0),"")</f>
        <v/>
      </c>
    </row>
    <row r="59" spans="1:62" ht="109.9" customHeight="1" thickBot="1">
      <c r="A59" s="303">
        <v>46</v>
      </c>
      <c r="B59" s="933" t="str">
        <f>IF(基本情報入力シート!B81="","",基本情報入力シート!B81)</f>
        <v/>
      </c>
      <c r="C59" s="934"/>
      <c r="D59" s="934"/>
      <c r="E59" s="934"/>
      <c r="F59" s="935"/>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49" t="str">
        <f>IF(基本情報入力シート!AF81=0, "",基本情報入力シート!AF81)</f>
        <v/>
      </c>
      <c r="M59" s="573"/>
      <c r="N59" s="514" t="str">
        <f>IFERROR(VLOOKUP(K59,【参考】数式用!$A$2:$F$57,MATCH(M59,【参考】数式用!$C$3:$F$3,0)+2,0),"")</f>
        <v/>
      </c>
      <c r="O59" s="503"/>
      <c r="P59" s="546" t="str">
        <f>IFERROR(VLOOKUP(K59,【参考】数式用!$A$2:$F$57,MATCH(O59,【参考】数式用!$C$3:$F$3,0)+2,0),"")</f>
        <v/>
      </c>
      <c r="Q59" s="310" t="s">
        <v>118</v>
      </c>
      <c r="R59" s="308"/>
      <c r="S59" s="309" t="s">
        <v>183</v>
      </c>
      <c r="T59" s="308"/>
      <c r="U59" s="309" t="s">
        <v>184</v>
      </c>
      <c r="V59" s="308"/>
      <c r="W59" s="309" t="s">
        <v>183</v>
      </c>
      <c r="X59" s="308"/>
      <c r="Y59" s="309" t="s">
        <v>185</v>
      </c>
      <c r="Z59" s="309" t="s">
        <v>186</v>
      </c>
      <c r="AA59" s="309" t="str">
        <f t="shared" si="21"/>
        <v/>
      </c>
      <c r="AB59" s="305" t="s">
        <v>187</v>
      </c>
      <c r="AC59" s="306" t="str">
        <f t="shared" si="10"/>
        <v/>
      </c>
      <c r="AD59" s="507"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48" t="str">
        <f>IFERROR(VLOOKUP(K59,【参考】数式用!$A$2:$N$57,14,FALSE),"")</f>
        <v/>
      </c>
      <c r="AP59" s="548" t="str">
        <f t="shared" si="23"/>
        <v/>
      </c>
      <c r="AQ59" s="552" t="str">
        <f t="shared" si="24"/>
        <v/>
      </c>
      <c r="AR59" s="531" t="str">
        <f t="shared" si="25"/>
        <v>入力済</v>
      </c>
      <c r="AS59" s="548" t="str">
        <f t="shared" si="12"/>
        <v/>
      </c>
      <c r="AT59" s="531" t="str">
        <f t="shared" si="26"/>
        <v>入力済</v>
      </c>
      <c r="AU59" s="531" t="str">
        <f t="shared" si="32"/>
        <v/>
      </c>
      <c r="AV59" s="531" t="str">
        <f t="shared" si="27"/>
        <v/>
      </c>
      <c r="AW59" s="548" t="str">
        <f t="shared" si="28"/>
        <v/>
      </c>
      <c r="AX59" s="548" t="str">
        <f t="shared" si="14"/>
        <v/>
      </c>
      <c r="AY59" s="531" t="str">
        <f>IFERROR(VLOOKUP(K59,【参考】数式用!$AR$5:$AS$39,2, FALSE), "")</f>
        <v/>
      </c>
      <c r="AZ59" s="548" t="str">
        <f t="shared" si="15"/>
        <v/>
      </c>
      <c r="BA59" s="551" t="str">
        <f t="shared" si="29"/>
        <v>入力済</v>
      </c>
      <c r="BB59" s="531" t="str">
        <f>IFERROR(VLOOKUP(K59,【参考】数式用!$AX$3:$AY$59, 2, FALSE), "")</f>
        <v/>
      </c>
      <c r="BC59" s="548" t="str">
        <f t="shared" si="16"/>
        <v/>
      </c>
      <c r="BD59" s="551" t="str">
        <f t="shared" si="30"/>
        <v>入力済</v>
      </c>
      <c r="BE59" s="565" t="str">
        <f t="shared" si="17"/>
        <v/>
      </c>
      <c r="BF59" s="551" t="str">
        <f t="shared" si="31"/>
        <v/>
      </c>
      <c r="BG59" s="577"/>
      <c r="BH59" s="531" t="str">
        <f t="shared" si="18"/>
        <v/>
      </c>
      <c r="BI59" s="596" t="str">
        <f>IF(BH59="Ⅱロ有り",ROUNDDOWN(L59*VLOOKUP(K59,【参考】数式用!$A$4:$J$42,10,FALSE)*AA59,0),"")</f>
        <v/>
      </c>
      <c r="BJ59" s="596" t="str">
        <f>IF(BH59="Ⅱロなし",ROUNDDOWN(L59*VLOOKUP(K59,【参考】数式用!$A$4:$J$42,8,FALSE)*AA59,0),"")</f>
        <v/>
      </c>
    </row>
    <row r="60" spans="1:62" ht="109.9" customHeight="1" thickBot="1">
      <c r="A60" s="303">
        <v>47</v>
      </c>
      <c r="B60" s="933" t="str">
        <f>IF(基本情報入力シート!B82="","",基本情報入力シート!B82)</f>
        <v/>
      </c>
      <c r="C60" s="934"/>
      <c r="D60" s="934"/>
      <c r="E60" s="934"/>
      <c r="F60" s="935"/>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49" t="str">
        <f>IF(基本情報入力シート!AF82=0, "",基本情報入力シート!AF82)</f>
        <v/>
      </c>
      <c r="M60" s="573"/>
      <c r="N60" s="514" t="str">
        <f>IFERROR(VLOOKUP(K60,【参考】数式用!$A$2:$F$57,MATCH(M60,【参考】数式用!$C$3:$F$3,0)+2,0),"")</f>
        <v/>
      </c>
      <c r="O60" s="503"/>
      <c r="P60" s="546" t="str">
        <f>IFERROR(VLOOKUP(K60,【参考】数式用!$A$2:$F$57,MATCH(O60,【参考】数式用!$C$3:$F$3,0)+2,0),"")</f>
        <v/>
      </c>
      <c r="Q60" s="310" t="s">
        <v>118</v>
      </c>
      <c r="R60" s="308"/>
      <c r="S60" s="309" t="s">
        <v>183</v>
      </c>
      <c r="T60" s="308"/>
      <c r="U60" s="309" t="s">
        <v>184</v>
      </c>
      <c r="V60" s="308"/>
      <c r="W60" s="309" t="s">
        <v>183</v>
      </c>
      <c r="X60" s="308"/>
      <c r="Y60" s="309" t="s">
        <v>185</v>
      </c>
      <c r="Z60" s="309" t="s">
        <v>186</v>
      </c>
      <c r="AA60" s="309" t="str">
        <f t="shared" si="21"/>
        <v/>
      </c>
      <c r="AB60" s="305" t="s">
        <v>187</v>
      </c>
      <c r="AC60" s="306" t="str">
        <f t="shared" si="10"/>
        <v/>
      </c>
      <c r="AD60" s="507"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48" t="str">
        <f>IFERROR(VLOOKUP(K60,【参考】数式用!$A$2:$N$57,14,FALSE),"")</f>
        <v/>
      </c>
      <c r="AP60" s="548" t="str">
        <f t="shared" si="23"/>
        <v/>
      </c>
      <c r="AQ60" s="552" t="str">
        <f t="shared" si="24"/>
        <v/>
      </c>
      <c r="AR60" s="531" t="str">
        <f t="shared" si="25"/>
        <v>入力済</v>
      </c>
      <c r="AS60" s="548" t="str">
        <f t="shared" si="12"/>
        <v/>
      </c>
      <c r="AT60" s="531" t="str">
        <f t="shared" si="26"/>
        <v>入力済</v>
      </c>
      <c r="AU60" s="531" t="str">
        <f t="shared" si="32"/>
        <v/>
      </c>
      <c r="AV60" s="531" t="str">
        <f t="shared" si="27"/>
        <v/>
      </c>
      <c r="AW60" s="548" t="str">
        <f t="shared" si="28"/>
        <v/>
      </c>
      <c r="AX60" s="548" t="str">
        <f t="shared" si="14"/>
        <v/>
      </c>
      <c r="AY60" s="531" t="str">
        <f>IFERROR(VLOOKUP(K60,【参考】数式用!$AR$5:$AS$39,2, FALSE), "")</f>
        <v/>
      </c>
      <c r="AZ60" s="548" t="str">
        <f t="shared" si="15"/>
        <v/>
      </c>
      <c r="BA60" s="551" t="str">
        <f t="shared" si="29"/>
        <v>入力済</v>
      </c>
      <c r="BB60" s="531" t="str">
        <f>IFERROR(VLOOKUP(K60,【参考】数式用!$AX$3:$AY$59, 2, FALSE), "")</f>
        <v/>
      </c>
      <c r="BC60" s="548" t="str">
        <f t="shared" si="16"/>
        <v/>
      </c>
      <c r="BD60" s="551" t="str">
        <f t="shared" si="30"/>
        <v>入力済</v>
      </c>
      <c r="BE60" s="565" t="str">
        <f t="shared" si="17"/>
        <v/>
      </c>
      <c r="BF60" s="551" t="str">
        <f t="shared" si="31"/>
        <v/>
      </c>
      <c r="BG60" s="577"/>
      <c r="BH60" s="531" t="str">
        <f t="shared" si="18"/>
        <v/>
      </c>
      <c r="BI60" s="596" t="str">
        <f>IF(BH60="Ⅱロ有り",ROUNDDOWN(L60*VLOOKUP(K60,【参考】数式用!$A$4:$J$42,10,FALSE)*AA60,0),"")</f>
        <v/>
      </c>
      <c r="BJ60" s="596" t="str">
        <f>IF(BH60="Ⅱロなし",ROUNDDOWN(L60*VLOOKUP(K60,【参考】数式用!$A$4:$J$42,8,FALSE)*AA60,0),"")</f>
        <v/>
      </c>
    </row>
    <row r="61" spans="1:62" ht="109.9" customHeight="1" thickBot="1">
      <c r="A61" s="303">
        <v>48</v>
      </c>
      <c r="B61" s="933" t="str">
        <f>IF(基本情報入力シート!B83="","",基本情報入力シート!B83)</f>
        <v/>
      </c>
      <c r="C61" s="934"/>
      <c r="D61" s="934"/>
      <c r="E61" s="934"/>
      <c r="F61" s="935"/>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49" t="str">
        <f>IF(基本情報入力シート!AF83=0, "",基本情報入力シート!AF83)</f>
        <v/>
      </c>
      <c r="M61" s="573"/>
      <c r="N61" s="514" t="str">
        <f>IFERROR(VLOOKUP(K61,【参考】数式用!$A$2:$F$57,MATCH(M61,【参考】数式用!$C$3:$F$3,0)+2,0),"")</f>
        <v/>
      </c>
      <c r="O61" s="503"/>
      <c r="P61" s="546" t="str">
        <f>IFERROR(VLOOKUP(K61,【参考】数式用!$A$2:$F$57,MATCH(O61,【参考】数式用!$C$3:$F$3,0)+2,0),"")</f>
        <v/>
      </c>
      <c r="Q61" s="310" t="s">
        <v>118</v>
      </c>
      <c r="R61" s="308"/>
      <c r="S61" s="309" t="s">
        <v>183</v>
      </c>
      <c r="T61" s="308"/>
      <c r="U61" s="309" t="s">
        <v>184</v>
      </c>
      <c r="V61" s="308"/>
      <c r="W61" s="309" t="s">
        <v>183</v>
      </c>
      <c r="X61" s="308"/>
      <c r="Y61" s="309" t="s">
        <v>185</v>
      </c>
      <c r="Z61" s="309" t="s">
        <v>186</v>
      </c>
      <c r="AA61" s="309" t="str">
        <f t="shared" si="21"/>
        <v/>
      </c>
      <c r="AB61" s="305" t="s">
        <v>187</v>
      </c>
      <c r="AC61" s="306" t="str">
        <f t="shared" si="10"/>
        <v/>
      </c>
      <c r="AD61" s="507"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48" t="str">
        <f>IFERROR(VLOOKUP(K61,【参考】数式用!$A$2:$N$57,14,FALSE),"")</f>
        <v/>
      </c>
      <c r="AP61" s="548" t="str">
        <f t="shared" si="23"/>
        <v/>
      </c>
      <c r="AQ61" s="552" t="str">
        <f t="shared" si="24"/>
        <v/>
      </c>
      <c r="AR61" s="531" t="str">
        <f t="shared" si="25"/>
        <v>入力済</v>
      </c>
      <c r="AS61" s="548" t="str">
        <f t="shared" si="12"/>
        <v/>
      </c>
      <c r="AT61" s="531" t="str">
        <f t="shared" si="26"/>
        <v>入力済</v>
      </c>
      <c r="AU61" s="531" t="str">
        <f t="shared" si="32"/>
        <v/>
      </c>
      <c r="AV61" s="531" t="str">
        <f t="shared" si="27"/>
        <v/>
      </c>
      <c r="AW61" s="548" t="str">
        <f t="shared" si="28"/>
        <v/>
      </c>
      <c r="AX61" s="548" t="str">
        <f t="shared" si="14"/>
        <v/>
      </c>
      <c r="AY61" s="531" t="str">
        <f>IFERROR(VLOOKUP(K61,【参考】数式用!$AR$5:$AS$39,2, FALSE), "")</f>
        <v/>
      </c>
      <c r="AZ61" s="548" t="str">
        <f t="shared" si="15"/>
        <v/>
      </c>
      <c r="BA61" s="551" t="str">
        <f t="shared" si="29"/>
        <v>入力済</v>
      </c>
      <c r="BB61" s="531" t="str">
        <f>IFERROR(VLOOKUP(K61,【参考】数式用!$AX$3:$AY$59, 2, FALSE), "")</f>
        <v/>
      </c>
      <c r="BC61" s="548" t="str">
        <f t="shared" si="16"/>
        <v/>
      </c>
      <c r="BD61" s="551" t="str">
        <f t="shared" si="30"/>
        <v>入力済</v>
      </c>
      <c r="BE61" s="565" t="str">
        <f t="shared" si="17"/>
        <v/>
      </c>
      <c r="BF61" s="551" t="str">
        <f t="shared" si="31"/>
        <v/>
      </c>
      <c r="BG61" s="577"/>
      <c r="BH61" s="531" t="str">
        <f t="shared" si="18"/>
        <v/>
      </c>
      <c r="BI61" s="596" t="str">
        <f>IF(BH61="Ⅱロ有り",ROUNDDOWN(L61*VLOOKUP(K61,【参考】数式用!$A$4:$J$42,10,FALSE)*AA61,0),"")</f>
        <v/>
      </c>
      <c r="BJ61" s="596" t="str">
        <f>IF(BH61="Ⅱロなし",ROUNDDOWN(L61*VLOOKUP(K61,【参考】数式用!$A$4:$J$42,8,FALSE)*AA61,0),"")</f>
        <v/>
      </c>
    </row>
    <row r="62" spans="1:62" ht="109.9" customHeight="1" thickBot="1">
      <c r="A62" s="303">
        <v>49</v>
      </c>
      <c r="B62" s="933" t="str">
        <f>IF(基本情報入力シート!B84="","",基本情報入力シート!B84)</f>
        <v/>
      </c>
      <c r="C62" s="934"/>
      <c r="D62" s="934"/>
      <c r="E62" s="934"/>
      <c r="F62" s="935"/>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49" t="str">
        <f>IF(基本情報入力シート!AF84=0, "",基本情報入力シート!AF84)</f>
        <v/>
      </c>
      <c r="M62" s="573"/>
      <c r="N62" s="514" t="str">
        <f>IFERROR(VLOOKUP(K62,【参考】数式用!$A$2:$F$57,MATCH(M62,【参考】数式用!$C$3:$F$3,0)+2,0),"")</f>
        <v/>
      </c>
      <c r="O62" s="503"/>
      <c r="P62" s="546" t="str">
        <f>IFERROR(VLOOKUP(K62,【参考】数式用!$A$2:$F$57,MATCH(O62,【参考】数式用!$C$3:$F$3,0)+2,0),"")</f>
        <v/>
      </c>
      <c r="Q62" s="310" t="s">
        <v>118</v>
      </c>
      <c r="R62" s="308"/>
      <c r="S62" s="309" t="s">
        <v>183</v>
      </c>
      <c r="T62" s="308"/>
      <c r="U62" s="309" t="s">
        <v>184</v>
      </c>
      <c r="V62" s="308"/>
      <c r="W62" s="309" t="s">
        <v>183</v>
      </c>
      <c r="X62" s="308"/>
      <c r="Y62" s="309" t="s">
        <v>185</v>
      </c>
      <c r="Z62" s="309" t="s">
        <v>186</v>
      </c>
      <c r="AA62" s="309" t="str">
        <f t="shared" si="21"/>
        <v/>
      </c>
      <c r="AB62" s="305" t="s">
        <v>187</v>
      </c>
      <c r="AC62" s="306" t="str">
        <f t="shared" si="10"/>
        <v/>
      </c>
      <c r="AD62" s="507"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48" t="str">
        <f>IFERROR(VLOOKUP(K62,【参考】数式用!$A$2:$N$57,14,FALSE),"")</f>
        <v/>
      </c>
      <c r="AP62" s="548" t="str">
        <f t="shared" si="23"/>
        <v/>
      </c>
      <c r="AQ62" s="552" t="str">
        <f t="shared" si="24"/>
        <v/>
      </c>
      <c r="AR62" s="531" t="str">
        <f t="shared" si="25"/>
        <v>入力済</v>
      </c>
      <c r="AS62" s="548" t="str">
        <f t="shared" si="12"/>
        <v/>
      </c>
      <c r="AT62" s="531" t="str">
        <f t="shared" si="26"/>
        <v>入力済</v>
      </c>
      <c r="AU62" s="531" t="str">
        <f t="shared" si="32"/>
        <v/>
      </c>
      <c r="AV62" s="531" t="str">
        <f t="shared" si="27"/>
        <v/>
      </c>
      <c r="AW62" s="548" t="str">
        <f t="shared" si="28"/>
        <v/>
      </c>
      <c r="AX62" s="548" t="str">
        <f t="shared" si="14"/>
        <v/>
      </c>
      <c r="AY62" s="531" t="str">
        <f>IFERROR(VLOOKUP(K62,【参考】数式用!$AR$5:$AS$39,2, FALSE), "")</f>
        <v/>
      </c>
      <c r="AZ62" s="548" t="str">
        <f t="shared" si="15"/>
        <v/>
      </c>
      <c r="BA62" s="551" t="str">
        <f t="shared" si="29"/>
        <v>入力済</v>
      </c>
      <c r="BB62" s="531" t="str">
        <f>IFERROR(VLOOKUP(K62,【参考】数式用!$AX$3:$AY$59, 2, FALSE), "")</f>
        <v/>
      </c>
      <c r="BC62" s="548" t="str">
        <f t="shared" si="16"/>
        <v/>
      </c>
      <c r="BD62" s="551" t="str">
        <f t="shared" si="30"/>
        <v>入力済</v>
      </c>
      <c r="BE62" s="565" t="str">
        <f t="shared" si="17"/>
        <v/>
      </c>
      <c r="BF62" s="551" t="str">
        <f t="shared" si="31"/>
        <v/>
      </c>
      <c r="BG62" s="577"/>
      <c r="BH62" s="531" t="str">
        <f t="shared" si="18"/>
        <v/>
      </c>
      <c r="BI62" s="596" t="str">
        <f>IF(BH62="Ⅱロ有り",ROUNDDOWN(L62*VLOOKUP(K62,【参考】数式用!$A$4:$J$42,10,FALSE)*AA62,0),"")</f>
        <v/>
      </c>
      <c r="BJ62" s="596" t="str">
        <f>IF(BH62="Ⅱロなし",ROUNDDOWN(L62*VLOOKUP(K62,【参考】数式用!$A$4:$J$42,8,FALSE)*AA62,0),"")</f>
        <v/>
      </c>
    </row>
    <row r="63" spans="1:62" ht="109.9" customHeight="1" thickBot="1">
      <c r="A63" s="303">
        <v>50</v>
      </c>
      <c r="B63" s="933" t="str">
        <f>IF(基本情報入力シート!B85="","",基本情報入力シート!B85)</f>
        <v/>
      </c>
      <c r="C63" s="934"/>
      <c r="D63" s="934"/>
      <c r="E63" s="934"/>
      <c r="F63" s="935"/>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49" t="str">
        <f>IF(基本情報入力シート!AF85=0, "",基本情報入力シート!AF85)</f>
        <v/>
      </c>
      <c r="M63" s="573"/>
      <c r="N63" s="514" t="str">
        <f>IFERROR(VLOOKUP(K63,【参考】数式用!$A$2:$F$57,MATCH(M63,【参考】数式用!$C$3:$F$3,0)+2,0),"")</f>
        <v/>
      </c>
      <c r="O63" s="503"/>
      <c r="P63" s="546" t="str">
        <f>IFERROR(VLOOKUP(K63,【参考】数式用!$A$2:$F$57,MATCH(O63,【参考】数式用!$C$3:$F$3,0)+2,0),"")</f>
        <v/>
      </c>
      <c r="Q63" s="310" t="s">
        <v>118</v>
      </c>
      <c r="R63" s="308"/>
      <c r="S63" s="309" t="s">
        <v>183</v>
      </c>
      <c r="T63" s="308"/>
      <c r="U63" s="309" t="s">
        <v>184</v>
      </c>
      <c r="V63" s="308"/>
      <c r="W63" s="309" t="s">
        <v>183</v>
      </c>
      <c r="X63" s="308"/>
      <c r="Y63" s="309" t="s">
        <v>185</v>
      </c>
      <c r="Z63" s="309" t="s">
        <v>186</v>
      </c>
      <c r="AA63" s="309" t="str">
        <f t="shared" si="21"/>
        <v/>
      </c>
      <c r="AB63" s="305" t="s">
        <v>187</v>
      </c>
      <c r="AC63" s="306" t="str">
        <f t="shared" si="10"/>
        <v/>
      </c>
      <c r="AD63" s="507"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48" t="str">
        <f>IFERROR(VLOOKUP(K63,【参考】数式用!$A$2:$N$57,14,FALSE),"")</f>
        <v/>
      </c>
      <c r="AP63" s="548" t="str">
        <f t="shared" si="23"/>
        <v/>
      </c>
      <c r="AQ63" s="552" t="str">
        <f t="shared" si="24"/>
        <v/>
      </c>
      <c r="AR63" s="531" t="str">
        <f t="shared" si="25"/>
        <v>入力済</v>
      </c>
      <c r="AS63" s="548" t="str">
        <f t="shared" si="12"/>
        <v/>
      </c>
      <c r="AT63" s="531" t="str">
        <f t="shared" si="26"/>
        <v>入力済</v>
      </c>
      <c r="AU63" s="531" t="str">
        <f t="shared" si="32"/>
        <v/>
      </c>
      <c r="AV63" s="531" t="str">
        <f t="shared" si="27"/>
        <v/>
      </c>
      <c r="AW63" s="548" t="str">
        <f t="shared" si="28"/>
        <v/>
      </c>
      <c r="AX63" s="548" t="str">
        <f t="shared" si="14"/>
        <v/>
      </c>
      <c r="AY63" s="531" t="str">
        <f>IFERROR(VLOOKUP(K63,【参考】数式用!$AR$5:$AS$39,2, FALSE), "")</f>
        <v/>
      </c>
      <c r="AZ63" s="548" t="str">
        <f t="shared" si="15"/>
        <v/>
      </c>
      <c r="BA63" s="551" t="str">
        <f t="shared" si="29"/>
        <v>入力済</v>
      </c>
      <c r="BB63" s="531" t="str">
        <f>IFERROR(VLOOKUP(K63,【参考】数式用!$AX$3:$AY$59, 2, FALSE), "")</f>
        <v/>
      </c>
      <c r="BC63" s="548" t="str">
        <f t="shared" si="16"/>
        <v/>
      </c>
      <c r="BD63" s="551" t="str">
        <f t="shared" si="30"/>
        <v>入力済</v>
      </c>
      <c r="BE63" s="565" t="str">
        <f t="shared" si="17"/>
        <v/>
      </c>
      <c r="BF63" s="551" t="str">
        <f t="shared" si="31"/>
        <v/>
      </c>
      <c r="BG63" s="577"/>
      <c r="BH63" s="531" t="str">
        <f t="shared" si="18"/>
        <v/>
      </c>
      <c r="BI63" s="596" t="str">
        <f>IF(BH63="Ⅱロ有り",ROUNDDOWN(L63*VLOOKUP(K63,【参考】数式用!$A$4:$J$42,10,FALSE)*AA63,0),"")</f>
        <v/>
      </c>
      <c r="BJ63" s="596" t="str">
        <f>IF(BH63="Ⅱロなし",ROUNDDOWN(L63*VLOOKUP(K63,【参考】数式用!$A$4:$J$42,8,FALSE)*AA63,0),"")</f>
        <v/>
      </c>
    </row>
    <row r="64" spans="1:62" ht="109.9" customHeight="1" thickBot="1">
      <c r="A64" s="303">
        <v>51</v>
      </c>
      <c r="B64" s="933" t="str">
        <f>IF(基本情報入力シート!B86="","",基本情報入力シート!B86)</f>
        <v/>
      </c>
      <c r="C64" s="934"/>
      <c r="D64" s="934"/>
      <c r="E64" s="934"/>
      <c r="F64" s="935"/>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49" t="str">
        <f>IF(基本情報入力シート!AF86=0, "",基本情報入力シート!AF86)</f>
        <v/>
      </c>
      <c r="M64" s="573"/>
      <c r="N64" s="514" t="str">
        <f>IFERROR(VLOOKUP(K64,【参考】数式用!$A$2:$F$57,MATCH(M64,【参考】数式用!$C$3:$F$3,0)+2,0),"")</f>
        <v/>
      </c>
      <c r="O64" s="503"/>
      <c r="P64" s="546" t="str">
        <f>IFERROR(VLOOKUP(K64,【参考】数式用!$A$2:$F$57,MATCH(O64,【参考】数式用!$C$3:$F$3,0)+2,0),"")</f>
        <v/>
      </c>
      <c r="Q64" s="310" t="s">
        <v>118</v>
      </c>
      <c r="R64" s="308"/>
      <c r="S64" s="309" t="s">
        <v>183</v>
      </c>
      <c r="T64" s="308"/>
      <c r="U64" s="309" t="s">
        <v>184</v>
      </c>
      <c r="V64" s="308"/>
      <c r="W64" s="309" t="s">
        <v>183</v>
      </c>
      <c r="X64" s="308"/>
      <c r="Y64" s="309" t="s">
        <v>185</v>
      </c>
      <c r="Z64" s="309" t="s">
        <v>186</v>
      </c>
      <c r="AA64" s="309" t="str">
        <f t="shared" si="21"/>
        <v/>
      </c>
      <c r="AB64" s="305" t="s">
        <v>187</v>
      </c>
      <c r="AC64" s="306" t="str">
        <f t="shared" si="10"/>
        <v/>
      </c>
      <c r="AD64" s="507"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48" t="str">
        <f>IFERROR(VLOOKUP(K64,【参考】数式用!$A$2:$N$57,14,FALSE),"")</f>
        <v/>
      </c>
      <c r="AP64" s="548" t="str">
        <f t="shared" si="23"/>
        <v/>
      </c>
      <c r="AQ64" s="552" t="str">
        <f t="shared" si="24"/>
        <v/>
      </c>
      <c r="AR64" s="531" t="str">
        <f t="shared" si="25"/>
        <v>入力済</v>
      </c>
      <c r="AS64" s="548" t="str">
        <f t="shared" si="12"/>
        <v/>
      </c>
      <c r="AT64" s="531" t="str">
        <f t="shared" si="26"/>
        <v>入力済</v>
      </c>
      <c r="AU64" s="531" t="str">
        <f t="shared" si="32"/>
        <v/>
      </c>
      <c r="AV64" s="531" t="str">
        <f t="shared" si="27"/>
        <v/>
      </c>
      <c r="AW64" s="548" t="str">
        <f t="shared" si="28"/>
        <v/>
      </c>
      <c r="AX64" s="548" t="str">
        <f t="shared" si="14"/>
        <v/>
      </c>
      <c r="AY64" s="531" t="str">
        <f>IFERROR(VLOOKUP(K64,【参考】数式用!$AR$5:$AS$39,2, FALSE), "")</f>
        <v/>
      </c>
      <c r="AZ64" s="548" t="str">
        <f t="shared" si="15"/>
        <v/>
      </c>
      <c r="BA64" s="551" t="str">
        <f t="shared" si="29"/>
        <v>入力済</v>
      </c>
      <c r="BB64" s="531" t="str">
        <f>IFERROR(VLOOKUP(K64,【参考】数式用!$AX$3:$AY$59, 2, FALSE), "")</f>
        <v/>
      </c>
      <c r="BC64" s="548" t="str">
        <f t="shared" si="16"/>
        <v/>
      </c>
      <c r="BD64" s="551" t="str">
        <f t="shared" si="30"/>
        <v>入力済</v>
      </c>
      <c r="BE64" s="565" t="str">
        <f t="shared" si="17"/>
        <v/>
      </c>
      <c r="BF64" s="551" t="str">
        <f t="shared" si="31"/>
        <v/>
      </c>
      <c r="BG64" s="577"/>
      <c r="BH64" s="531" t="str">
        <f t="shared" si="18"/>
        <v/>
      </c>
      <c r="BI64" s="596" t="str">
        <f>IF(BH64="Ⅱロ有り",ROUNDDOWN(L64*VLOOKUP(K64,【参考】数式用!$A$4:$J$42,10,FALSE)*AA64,0),"")</f>
        <v/>
      </c>
      <c r="BJ64" s="596" t="str">
        <f>IF(BH64="Ⅱロなし",ROUNDDOWN(L64*VLOOKUP(K64,【参考】数式用!$A$4:$J$42,8,FALSE)*AA64,0),"")</f>
        <v/>
      </c>
    </row>
    <row r="65" spans="1:62" ht="109.9" customHeight="1" thickBot="1">
      <c r="A65" s="303">
        <v>52</v>
      </c>
      <c r="B65" s="933" t="str">
        <f>IF(基本情報入力シート!B87="","",基本情報入力シート!B87)</f>
        <v/>
      </c>
      <c r="C65" s="934"/>
      <c r="D65" s="934"/>
      <c r="E65" s="934"/>
      <c r="F65" s="935"/>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49" t="str">
        <f>IF(基本情報入力シート!AF87=0, "",基本情報入力シート!AF87)</f>
        <v/>
      </c>
      <c r="M65" s="573"/>
      <c r="N65" s="514" t="str">
        <f>IFERROR(VLOOKUP(K65,【参考】数式用!$A$2:$F$57,MATCH(M65,【参考】数式用!$C$3:$F$3,0)+2,0),"")</f>
        <v/>
      </c>
      <c r="O65" s="503"/>
      <c r="P65" s="546" t="str">
        <f>IFERROR(VLOOKUP(K65,【参考】数式用!$A$2:$F$57,MATCH(O65,【参考】数式用!$C$3:$F$3,0)+2,0),"")</f>
        <v/>
      </c>
      <c r="Q65" s="310" t="s">
        <v>118</v>
      </c>
      <c r="R65" s="308"/>
      <c r="S65" s="309" t="s">
        <v>183</v>
      </c>
      <c r="T65" s="308"/>
      <c r="U65" s="309" t="s">
        <v>184</v>
      </c>
      <c r="V65" s="308"/>
      <c r="W65" s="309" t="s">
        <v>183</v>
      </c>
      <c r="X65" s="308"/>
      <c r="Y65" s="309" t="s">
        <v>185</v>
      </c>
      <c r="Z65" s="309" t="s">
        <v>186</v>
      </c>
      <c r="AA65" s="309" t="str">
        <f t="shared" si="21"/>
        <v/>
      </c>
      <c r="AB65" s="305" t="s">
        <v>187</v>
      </c>
      <c r="AC65" s="306" t="str">
        <f t="shared" si="10"/>
        <v/>
      </c>
      <c r="AD65" s="507"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48" t="str">
        <f>IFERROR(VLOOKUP(K65,【参考】数式用!$A$2:$N$57,14,FALSE),"")</f>
        <v/>
      </c>
      <c r="AP65" s="548" t="str">
        <f t="shared" si="23"/>
        <v/>
      </c>
      <c r="AQ65" s="552" t="str">
        <f t="shared" si="24"/>
        <v/>
      </c>
      <c r="AR65" s="531" t="str">
        <f t="shared" si="25"/>
        <v>入力済</v>
      </c>
      <c r="AS65" s="548" t="str">
        <f t="shared" si="12"/>
        <v/>
      </c>
      <c r="AT65" s="531" t="str">
        <f t="shared" si="26"/>
        <v>入力済</v>
      </c>
      <c r="AU65" s="531" t="str">
        <f t="shared" si="32"/>
        <v/>
      </c>
      <c r="AV65" s="531" t="str">
        <f t="shared" si="27"/>
        <v/>
      </c>
      <c r="AW65" s="548" t="str">
        <f t="shared" si="28"/>
        <v/>
      </c>
      <c r="AX65" s="548" t="str">
        <f t="shared" si="14"/>
        <v/>
      </c>
      <c r="AY65" s="531" t="str">
        <f>IFERROR(VLOOKUP(K65,【参考】数式用!$AR$5:$AS$39,2, FALSE), "")</f>
        <v/>
      </c>
      <c r="AZ65" s="548" t="str">
        <f t="shared" si="15"/>
        <v/>
      </c>
      <c r="BA65" s="551" t="str">
        <f t="shared" si="29"/>
        <v>入力済</v>
      </c>
      <c r="BB65" s="531" t="str">
        <f>IFERROR(VLOOKUP(K65,【参考】数式用!$AX$3:$AY$59, 2, FALSE), "")</f>
        <v/>
      </c>
      <c r="BC65" s="548" t="str">
        <f t="shared" si="16"/>
        <v/>
      </c>
      <c r="BD65" s="551" t="str">
        <f t="shared" si="30"/>
        <v>入力済</v>
      </c>
      <c r="BE65" s="565" t="str">
        <f t="shared" si="17"/>
        <v/>
      </c>
      <c r="BF65" s="551" t="str">
        <f t="shared" si="31"/>
        <v/>
      </c>
      <c r="BG65" s="577"/>
      <c r="BH65" s="531" t="str">
        <f t="shared" si="18"/>
        <v/>
      </c>
      <c r="BI65" s="596" t="str">
        <f>IF(BH65="Ⅱロ有り",ROUNDDOWN(L65*VLOOKUP(K65,【参考】数式用!$A$4:$J$42,10,FALSE)*AA65,0),"")</f>
        <v/>
      </c>
      <c r="BJ65" s="596" t="str">
        <f>IF(BH65="Ⅱロなし",ROUNDDOWN(L65*VLOOKUP(K65,【参考】数式用!$A$4:$J$42,8,FALSE)*AA65,0),"")</f>
        <v/>
      </c>
    </row>
    <row r="66" spans="1:62" ht="109.9" customHeight="1" thickBot="1">
      <c r="A66" s="303">
        <v>53</v>
      </c>
      <c r="B66" s="933" t="str">
        <f>IF(基本情報入力シート!B88="","",基本情報入力シート!B88)</f>
        <v/>
      </c>
      <c r="C66" s="934"/>
      <c r="D66" s="934"/>
      <c r="E66" s="934"/>
      <c r="F66" s="935"/>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49" t="str">
        <f>IF(基本情報入力シート!AF88=0, "",基本情報入力シート!AF88)</f>
        <v/>
      </c>
      <c r="M66" s="573"/>
      <c r="N66" s="514" t="str">
        <f>IFERROR(VLOOKUP(K66,【参考】数式用!$A$2:$F$57,MATCH(M66,【参考】数式用!$C$3:$F$3,0)+2,0),"")</f>
        <v/>
      </c>
      <c r="O66" s="503"/>
      <c r="P66" s="546" t="str">
        <f>IFERROR(VLOOKUP(K66,【参考】数式用!$A$2:$F$57,MATCH(O66,【参考】数式用!$C$3:$F$3,0)+2,0),"")</f>
        <v/>
      </c>
      <c r="Q66" s="310" t="s">
        <v>118</v>
      </c>
      <c r="R66" s="308"/>
      <c r="S66" s="309" t="s">
        <v>183</v>
      </c>
      <c r="T66" s="308"/>
      <c r="U66" s="309" t="s">
        <v>184</v>
      </c>
      <c r="V66" s="308"/>
      <c r="W66" s="309" t="s">
        <v>183</v>
      </c>
      <c r="X66" s="308"/>
      <c r="Y66" s="309" t="s">
        <v>185</v>
      </c>
      <c r="Z66" s="309" t="s">
        <v>186</v>
      </c>
      <c r="AA66" s="309" t="str">
        <f t="shared" si="21"/>
        <v/>
      </c>
      <c r="AB66" s="305" t="s">
        <v>187</v>
      </c>
      <c r="AC66" s="306" t="str">
        <f t="shared" si="10"/>
        <v/>
      </c>
      <c r="AD66" s="507"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48" t="str">
        <f>IFERROR(VLOOKUP(K66,【参考】数式用!$A$2:$N$57,14,FALSE),"")</f>
        <v/>
      </c>
      <c r="AP66" s="548" t="str">
        <f t="shared" si="23"/>
        <v/>
      </c>
      <c r="AQ66" s="552" t="str">
        <f t="shared" si="24"/>
        <v/>
      </c>
      <c r="AR66" s="531" t="str">
        <f t="shared" si="25"/>
        <v>入力済</v>
      </c>
      <c r="AS66" s="548" t="str">
        <f t="shared" si="12"/>
        <v/>
      </c>
      <c r="AT66" s="531" t="str">
        <f t="shared" si="26"/>
        <v>入力済</v>
      </c>
      <c r="AU66" s="531" t="str">
        <f t="shared" si="32"/>
        <v/>
      </c>
      <c r="AV66" s="531" t="str">
        <f t="shared" si="27"/>
        <v/>
      </c>
      <c r="AW66" s="548" t="str">
        <f t="shared" si="28"/>
        <v/>
      </c>
      <c r="AX66" s="548" t="str">
        <f t="shared" si="14"/>
        <v/>
      </c>
      <c r="AY66" s="531" t="str">
        <f>IFERROR(VLOOKUP(K66,【参考】数式用!$AR$5:$AS$39,2, FALSE), "")</f>
        <v/>
      </c>
      <c r="AZ66" s="548" t="str">
        <f t="shared" si="15"/>
        <v/>
      </c>
      <c r="BA66" s="551" t="str">
        <f t="shared" si="29"/>
        <v>入力済</v>
      </c>
      <c r="BB66" s="531" t="str">
        <f>IFERROR(VLOOKUP(K66,【参考】数式用!$AX$3:$AY$59, 2, FALSE), "")</f>
        <v/>
      </c>
      <c r="BC66" s="548" t="str">
        <f t="shared" si="16"/>
        <v/>
      </c>
      <c r="BD66" s="551" t="str">
        <f t="shared" si="30"/>
        <v>入力済</v>
      </c>
      <c r="BE66" s="565" t="str">
        <f t="shared" si="17"/>
        <v/>
      </c>
      <c r="BF66" s="551" t="str">
        <f t="shared" si="31"/>
        <v/>
      </c>
      <c r="BG66" s="577"/>
      <c r="BH66" s="531" t="str">
        <f t="shared" si="18"/>
        <v/>
      </c>
      <c r="BI66" s="596" t="str">
        <f>IF(BH66="Ⅱロ有り",ROUNDDOWN(L66*VLOOKUP(K66,【参考】数式用!$A$4:$J$42,10,FALSE)*AA66,0),"")</f>
        <v/>
      </c>
      <c r="BJ66" s="596" t="str">
        <f>IF(BH66="Ⅱロなし",ROUNDDOWN(L66*VLOOKUP(K66,【参考】数式用!$A$4:$J$42,8,FALSE)*AA66,0),"")</f>
        <v/>
      </c>
    </row>
    <row r="67" spans="1:62" ht="109.9" customHeight="1" thickBot="1">
      <c r="A67" s="303">
        <v>54</v>
      </c>
      <c r="B67" s="933" t="str">
        <f>IF(基本情報入力シート!B89="","",基本情報入力シート!B89)</f>
        <v/>
      </c>
      <c r="C67" s="934"/>
      <c r="D67" s="934"/>
      <c r="E67" s="934"/>
      <c r="F67" s="935"/>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49" t="str">
        <f>IF(基本情報入力シート!AF89=0, "",基本情報入力シート!AF89)</f>
        <v/>
      </c>
      <c r="M67" s="573"/>
      <c r="N67" s="514" t="str">
        <f>IFERROR(VLOOKUP(K67,【参考】数式用!$A$2:$F$57,MATCH(M67,【参考】数式用!$C$3:$F$3,0)+2,0),"")</f>
        <v/>
      </c>
      <c r="O67" s="503"/>
      <c r="P67" s="546" t="str">
        <f>IFERROR(VLOOKUP(K67,【参考】数式用!$A$2:$F$57,MATCH(O67,【参考】数式用!$C$3:$F$3,0)+2,0),"")</f>
        <v/>
      </c>
      <c r="Q67" s="310" t="s">
        <v>118</v>
      </c>
      <c r="R67" s="308"/>
      <c r="S67" s="309" t="s">
        <v>183</v>
      </c>
      <c r="T67" s="308"/>
      <c r="U67" s="309" t="s">
        <v>184</v>
      </c>
      <c r="V67" s="308"/>
      <c r="W67" s="309" t="s">
        <v>183</v>
      </c>
      <c r="X67" s="308"/>
      <c r="Y67" s="309" t="s">
        <v>185</v>
      </c>
      <c r="Z67" s="309" t="s">
        <v>186</v>
      </c>
      <c r="AA67" s="309" t="str">
        <f t="shared" si="21"/>
        <v/>
      </c>
      <c r="AB67" s="305" t="s">
        <v>187</v>
      </c>
      <c r="AC67" s="306" t="str">
        <f t="shared" si="10"/>
        <v/>
      </c>
      <c r="AD67" s="507"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48" t="str">
        <f>IFERROR(VLOOKUP(K67,【参考】数式用!$A$2:$N$57,14,FALSE),"")</f>
        <v/>
      </c>
      <c r="AP67" s="548" t="str">
        <f t="shared" si="23"/>
        <v/>
      </c>
      <c r="AQ67" s="552" t="str">
        <f t="shared" si="24"/>
        <v/>
      </c>
      <c r="AR67" s="531" t="str">
        <f t="shared" si="25"/>
        <v>入力済</v>
      </c>
      <c r="AS67" s="548" t="str">
        <f t="shared" si="12"/>
        <v/>
      </c>
      <c r="AT67" s="531" t="str">
        <f t="shared" si="26"/>
        <v>入力済</v>
      </c>
      <c r="AU67" s="531" t="str">
        <f t="shared" si="32"/>
        <v/>
      </c>
      <c r="AV67" s="531" t="str">
        <f t="shared" si="27"/>
        <v/>
      </c>
      <c r="AW67" s="548" t="str">
        <f t="shared" si="28"/>
        <v/>
      </c>
      <c r="AX67" s="548" t="str">
        <f t="shared" si="14"/>
        <v/>
      </c>
      <c r="AY67" s="531" t="str">
        <f>IFERROR(VLOOKUP(K67,【参考】数式用!$AR$5:$AS$39,2, FALSE), "")</f>
        <v/>
      </c>
      <c r="AZ67" s="548" t="str">
        <f t="shared" si="15"/>
        <v/>
      </c>
      <c r="BA67" s="551" t="str">
        <f t="shared" si="29"/>
        <v>入力済</v>
      </c>
      <c r="BB67" s="531" t="str">
        <f>IFERROR(VLOOKUP(K67,【参考】数式用!$AX$3:$AY$59, 2, FALSE), "")</f>
        <v/>
      </c>
      <c r="BC67" s="548" t="str">
        <f t="shared" si="16"/>
        <v/>
      </c>
      <c r="BD67" s="551" t="str">
        <f t="shared" si="30"/>
        <v>入力済</v>
      </c>
      <c r="BE67" s="565" t="str">
        <f t="shared" si="17"/>
        <v/>
      </c>
      <c r="BF67" s="551" t="str">
        <f t="shared" si="31"/>
        <v/>
      </c>
      <c r="BG67" s="577"/>
      <c r="BH67" s="531" t="str">
        <f t="shared" si="18"/>
        <v/>
      </c>
      <c r="BI67" s="596" t="str">
        <f>IF(BH67="Ⅱロ有り",ROUNDDOWN(L67*VLOOKUP(K67,【参考】数式用!$A$4:$J$42,10,FALSE)*AA67,0),"")</f>
        <v/>
      </c>
      <c r="BJ67" s="596" t="str">
        <f>IF(BH67="Ⅱロなし",ROUNDDOWN(L67*VLOOKUP(K67,【参考】数式用!$A$4:$J$42,8,FALSE)*AA67,0),"")</f>
        <v/>
      </c>
    </row>
    <row r="68" spans="1:62" ht="109.9" customHeight="1" thickBot="1">
      <c r="A68" s="303">
        <v>55</v>
      </c>
      <c r="B68" s="933" t="str">
        <f>IF(基本情報入力シート!B90="","",基本情報入力シート!B90)</f>
        <v/>
      </c>
      <c r="C68" s="934"/>
      <c r="D68" s="934"/>
      <c r="E68" s="934"/>
      <c r="F68" s="935"/>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49" t="str">
        <f>IF(基本情報入力シート!AF90=0, "",基本情報入力シート!AF90)</f>
        <v/>
      </c>
      <c r="M68" s="573"/>
      <c r="N68" s="514" t="str">
        <f>IFERROR(VLOOKUP(K68,【参考】数式用!$A$2:$F$57,MATCH(M68,【参考】数式用!$C$3:$F$3,0)+2,0),"")</f>
        <v/>
      </c>
      <c r="O68" s="503"/>
      <c r="P68" s="546" t="str">
        <f>IFERROR(VLOOKUP(K68,【参考】数式用!$A$2:$F$57,MATCH(O68,【参考】数式用!$C$3:$F$3,0)+2,0),"")</f>
        <v/>
      </c>
      <c r="Q68" s="310" t="s">
        <v>118</v>
      </c>
      <c r="R68" s="308"/>
      <c r="S68" s="309" t="s">
        <v>183</v>
      </c>
      <c r="T68" s="308"/>
      <c r="U68" s="309" t="s">
        <v>184</v>
      </c>
      <c r="V68" s="308"/>
      <c r="W68" s="309" t="s">
        <v>183</v>
      </c>
      <c r="X68" s="308"/>
      <c r="Y68" s="309" t="s">
        <v>185</v>
      </c>
      <c r="Z68" s="309" t="s">
        <v>186</v>
      </c>
      <c r="AA68" s="309" t="str">
        <f t="shared" si="21"/>
        <v/>
      </c>
      <c r="AB68" s="305" t="s">
        <v>187</v>
      </c>
      <c r="AC68" s="306" t="str">
        <f t="shared" si="10"/>
        <v/>
      </c>
      <c r="AD68" s="507"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48" t="str">
        <f>IFERROR(VLOOKUP(K68,【参考】数式用!$A$2:$N$57,14,FALSE),"")</f>
        <v/>
      </c>
      <c r="AP68" s="548" t="str">
        <f t="shared" si="23"/>
        <v/>
      </c>
      <c r="AQ68" s="552" t="str">
        <f t="shared" si="24"/>
        <v/>
      </c>
      <c r="AR68" s="531" t="str">
        <f t="shared" si="25"/>
        <v>入力済</v>
      </c>
      <c r="AS68" s="548" t="str">
        <f t="shared" si="12"/>
        <v/>
      </c>
      <c r="AT68" s="531" t="str">
        <f t="shared" si="26"/>
        <v>入力済</v>
      </c>
      <c r="AU68" s="531" t="str">
        <f t="shared" si="32"/>
        <v/>
      </c>
      <c r="AV68" s="531" t="str">
        <f t="shared" si="27"/>
        <v/>
      </c>
      <c r="AW68" s="548" t="str">
        <f t="shared" si="28"/>
        <v/>
      </c>
      <c r="AX68" s="548" t="str">
        <f t="shared" si="14"/>
        <v/>
      </c>
      <c r="AY68" s="531" t="str">
        <f>IFERROR(VLOOKUP(K68,【参考】数式用!$AR$5:$AS$39,2, FALSE), "")</f>
        <v/>
      </c>
      <c r="AZ68" s="548" t="str">
        <f t="shared" si="15"/>
        <v/>
      </c>
      <c r="BA68" s="551" t="str">
        <f t="shared" si="29"/>
        <v>入力済</v>
      </c>
      <c r="BB68" s="531" t="str">
        <f>IFERROR(VLOOKUP(K68,【参考】数式用!$AX$3:$AY$59, 2, FALSE), "")</f>
        <v/>
      </c>
      <c r="BC68" s="548" t="str">
        <f t="shared" si="16"/>
        <v/>
      </c>
      <c r="BD68" s="551" t="str">
        <f t="shared" si="30"/>
        <v>入力済</v>
      </c>
      <c r="BE68" s="565" t="str">
        <f t="shared" si="17"/>
        <v/>
      </c>
      <c r="BF68" s="551" t="str">
        <f t="shared" si="31"/>
        <v/>
      </c>
      <c r="BG68" s="577"/>
      <c r="BH68" s="531" t="str">
        <f t="shared" si="18"/>
        <v/>
      </c>
      <c r="BI68" s="596" t="str">
        <f>IF(BH68="Ⅱロ有り",ROUNDDOWN(L68*VLOOKUP(K68,【参考】数式用!$A$4:$J$42,10,FALSE)*AA68,0),"")</f>
        <v/>
      </c>
      <c r="BJ68" s="596" t="str">
        <f>IF(BH68="Ⅱロなし",ROUNDDOWN(L68*VLOOKUP(K68,【参考】数式用!$A$4:$J$42,8,FALSE)*AA68,0),"")</f>
        <v/>
      </c>
    </row>
    <row r="69" spans="1:62" ht="109.9" customHeight="1" thickBot="1">
      <c r="A69" s="303">
        <v>56</v>
      </c>
      <c r="B69" s="933" t="str">
        <f>IF(基本情報入力シート!B91="","",基本情報入力シート!B91)</f>
        <v/>
      </c>
      <c r="C69" s="934"/>
      <c r="D69" s="934"/>
      <c r="E69" s="934"/>
      <c r="F69" s="935"/>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49" t="str">
        <f>IF(基本情報入力シート!AF91=0, "",基本情報入力シート!AF91)</f>
        <v/>
      </c>
      <c r="M69" s="573"/>
      <c r="N69" s="514" t="str">
        <f>IFERROR(VLOOKUP(K69,【参考】数式用!$A$2:$F$57,MATCH(M69,【参考】数式用!$C$3:$F$3,0)+2,0),"")</f>
        <v/>
      </c>
      <c r="O69" s="503"/>
      <c r="P69" s="546" t="str">
        <f>IFERROR(VLOOKUP(K69,【参考】数式用!$A$2:$F$57,MATCH(O69,【参考】数式用!$C$3:$F$3,0)+2,0),"")</f>
        <v/>
      </c>
      <c r="Q69" s="310" t="s">
        <v>118</v>
      </c>
      <c r="R69" s="308"/>
      <c r="S69" s="309" t="s">
        <v>183</v>
      </c>
      <c r="T69" s="308"/>
      <c r="U69" s="309" t="s">
        <v>184</v>
      </c>
      <c r="V69" s="308"/>
      <c r="W69" s="309" t="s">
        <v>183</v>
      </c>
      <c r="X69" s="308"/>
      <c r="Y69" s="309" t="s">
        <v>185</v>
      </c>
      <c r="Z69" s="309" t="s">
        <v>186</v>
      </c>
      <c r="AA69" s="309" t="str">
        <f t="shared" si="21"/>
        <v/>
      </c>
      <c r="AB69" s="305" t="s">
        <v>187</v>
      </c>
      <c r="AC69" s="306" t="str">
        <f t="shared" si="10"/>
        <v/>
      </c>
      <c r="AD69" s="507"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48" t="str">
        <f>IFERROR(VLOOKUP(K69,【参考】数式用!$A$2:$N$57,14,FALSE),"")</f>
        <v/>
      </c>
      <c r="AP69" s="548" t="str">
        <f t="shared" si="23"/>
        <v/>
      </c>
      <c r="AQ69" s="552" t="str">
        <f t="shared" si="24"/>
        <v/>
      </c>
      <c r="AR69" s="531" t="str">
        <f t="shared" si="25"/>
        <v>入力済</v>
      </c>
      <c r="AS69" s="548" t="str">
        <f t="shared" si="12"/>
        <v/>
      </c>
      <c r="AT69" s="531" t="str">
        <f t="shared" si="26"/>
        <v>入力済</v>
      </c>
      <c r="AU69" s="531" t="str">
        <f t="shared" si="32"/>
        <v/>
      </c>
      <c r="AV69" s="531" t="str">
        <f t="shared" si="27"/>
        <v/>
      </c>
      <c r="AW69" s="548" t="str">
        <f t="shared" si="28"/>
        <v/>
      </c>
      <c r="AX69" s="548" t="str">
        <f t="shared" si="14"/>
        <v/>
      </c>
      <c r="AY69" s="531" t="str">
        <f>IFERROR(VLOOKUP(K69,【参考】数式用!$AR$5:$AS$39,2, FALSE), "")</f>
        <v/>
      </c>
      <c r="AZ69" s="548" t="str">
        <f t="shared" si="15"/>
        <v/>
      </c>
      <c r="BA69" s="551" t="str">
        <f t="shared" si="29"/>
        <v>入力済</v>
      </c>
      <c r="BB69" s="531" t="str">
        <f>IFERROR(VLOOKUP(K69,【参考】数式用!$AX$3:$AY$59, 2, FALSE), "")</f>
        <v/>
      </c>
      <c r="BC69" s="548" t="str">
        <f t="shared" si="16"/>
        <v/>
      </c>
      <c r="BD69" s="551" t="str">
        <f t="shared" si="30"/>
        <v>入力済</v>
      </c>
      <c r="BE69" s="565" t="str">
        <f t="shared" si="17"/>
        <v/>
      </c>
      <c r="BF69" s="551" t="str">
        <f t="shared" si="31"/>
        <v/>
      </c>
      <c r="BG69" s="577"/>
      <c r="BH69" s="531" t="str">
        <f t="shared" si="18"/>
        <v/>
      </c>
      <c r="BI69" s="596" t="str">
        <f>IF(BH69="Ⅱロ有り",ROUNDDOWN(L69*VLOOKUP(K69,【参考】数式用!$A$4:$J$42,10,FALSE)*AA69,0),"")</f>
        <v/>
      </c>
      <c r="BJ69" s="596" t="str">
        <f>IF(BH69="Ⅱロなし",ROUNDDOWN(L69*VLOOKUP(K69,【参考】数式用!$A$4:$J$42,8,FALSE)*AA69,0),"")</f>
        <v/>
      </c>
    </row>
    <row r="70" spans="1:62" ht="109.9" customHeight="1" thickBot="1">
      <c r="A70" s="303">
        <v>57</v>
      </c>
      <c r="B70" s="933" t="str">
        <f>IF(基本情報入力シート!B92="","",基本情報入力シート!B92)</f>
        <v/>
      </c>
      <c r="C70" s="934"/>
      <c r="D70" s="934"/>
      <c r="E70" s="934"/>
      <c r="F70" s="935"/>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49" t="str">
        <f>IF(基本情報入力シート!AF92=0, "",基本情報入力シート!AF92)</f>
        <v/>
      </c>
      <c r="M70" s="573"/>
      <c r="N70" s="514" t="str">
        <f>IFERROR(VLOOKUP(K70,【参考】数式用!$A$2:$F$57,MATCH(M70,【参考】数式用!$C$3:$F$3,0)+2,0),"")</f>
        <v/>
      </c>
      <c r="O70" s="503"/>
      <c r="P70" s="546" t="str">
        <f>IFERROR(VLOOKUP(K70,【参考】数式用!$A$2:$F$57,MATCH(O70,【参考】数式用!$C$3:$F$3,0)+2,0),"")</f>
        <v/>
      </c>
      <c r="Q70" s="310" t="s">
        <v>118</v>
      </c>
      <c r="R70" s="308"/>
      <c r="S70" s="309" t="s">
        <v>183</v>
      </c>
      <c r="T70" s="308"/>
      <c r="U70" s="309" t="s">
        <v>184</v>
      </c>
      <c r="V70" s="308"/>
      <c r="W70" s="309" t="s">
        <v>183</v>
      </c>
      <c r="X70" s="308"/>
      <c r="Y70" s="309" t="s">
        <v>185</v>
      </c>
      <c r="Z70" s="309" t="s">
        <v>186</v>
      </c>
      <c r="AA70" s="309" t="str">
        <f t="shared" si="21"/>
        <v/>
      </c>
      <c r="AB70" s="305" t="s">
        <v>187</v>
      </c>
      <c r="AC70" s="306" t="str">
        <f t="shared" si="10"/>
        <v/>
      </c>
      <c r="AD70" s="507"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48" t="str">
        <f>IFERROR(VLOOKUP(K70,【参考】数式用!$A$2:$N$57,14,FALSE),"")</f>
        <v/>
      </c>
      <c r="AP70" s="548" t="str">
        <f t="shared" si="23"/>
        <v/>
      </c>
      <c r="AQ70" s="552" t="str">
        <f t="shared" si="24"/>
        <v/>
      </c>
      <c r="AR70" s="531" t="str">
        <f t="shared" si="25"/>
        <v>入力済</v>
      </c>
      <c r="AS70" s="548" t="str">
        <f t="shared" si="12"/>
        <v/>
      </c>
      <c r="AT70" s="531" t="str">
        <f t="shared" si="26"/>
        <v>入力済</v>
      </c>
      <c r="AU70" s="531" t="str">
        <f t="shared" si="32"/>
        <v/>
      </c>
      <c r="AV70" s="531" t="str">
        <f t="shared" si="27"/>
        <v/>
      </c>
      <c r="AW70" s="548" t="str">
        <f t="shared" si="28"/>
        <v/>
      </c>
      <c r="AX70" s="548" t="str">
        <f t="shared" si="14"/>
        <v/>
      </c>
      <c r="AY70" s="531" t="str">
        <f>IFERROR(VLOOKUP(K70,【参考】数式用!$AR$5:$AS$39,2, FALSE), "")</f>
        <v/>
      </c>
      <c r="AZ70" s="548" t="str">
        <f t="shared" si="15"/>
        <v/>
      </c>
      <c r="BA70" s="551" t="str">
        <f t="shared" si="29"/>
        <v>入力済</v>
      </c>
      <c r="BB70" s="531" t="str">
        <f>IFERROR(VLOOKUP(K70,【参考】数式用!$AX$3:$AY$59, 2, FALSE), "")</f>
        <v/>
      </c>
      <c r="BC70" s="548" t="str">
        <f t="shared" si="16"/>
        <v/>
      </c>
      <c r="BD70" s="551" t="str">
        <f t="shared" si="30"/>
        <v>入力済</v>
      </c>
      <c r="BE70" s="565" t="str">
        <f t="shared" si="17"/>
        <v/>
      </c>
      <c r="BF70" s="551" t="str">
        <f t="shared" si="31"/>
        <v/>
      </c>
      <c r="BG70" s="577"/>
      <c r="BH70" s="531" t="str">
        <f t="shared" si="18"/>
        <v/>
      </c>
      <c r="BI70" s="596" t="str">
        <f>IF(BH70="Ⅱロ有り",ROUNDDOWN(L70*VLOOKUP(K70,【参考】数式用!$A$4:$J$42,10,FALSE)*AA70,0),"")</f>
        <v/>
      </c>
      <c r="BJ70" s="596" t="str">
        <f>IF(BH70="Ⅱロなし",ROUNDDOWN(L70*VLOOKUP(K70,【参考】数式用!$A$4:$J$42,8,FALSE)*AA70,0),"")</f>
        <v/>
      </c>
    </row>
    <row r="71" spans="1:62" ht="109.9" customHeight="1" thickBot="1">
      <c r="A71" s="303">
        <v>58</v>
      </c>
      <c r="B71" s="933" t="str">
        <f>IF(基本情報入力シート!B93="","",基本情報入力シート!B93)</f>
        <v/>
      </c>
      <c r="C71" s="934"/>
      <c r="D71" s="934"/>
      <c r="E71" s="934"/>
      <c r="F71" s="935"/>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49" t="str">
        <f>IF(基本情報入力シート!AF93=0, "",基本情報入力シート!AF93)</f>
        <v/>
      </c>
      <c r="M71" s="573"/>
      <c r="N71" s="514" t="str">
        <f>IFERROR(VLOOKUP(K71,【参考】数式用!$A$2:$F$57,MATCH(M71,【参考】数式用!$C$3:$F$3,0)+2,0),"")</f>
        <v/>
      </c>
      <c r="O71" s="503"/>
      <c r="P71" s="546" t="str">
        <f>IFERROR(VLOOKUP(K71,【参考】数式用!$A$2:$F$57,MATCH(O71,【参考】数式用!$C$3:$F$3,0)+2,0),"")</f>
        <v/>
      </c>
      <c r="Q71" s="310" t="s">
        <v>118</v>
      </c>
      <c r="R71" s="308"/>
      <c r="S71" s="309" t="s">
        <v>183</v>
      </c>
      <c r="T71" s="308"/>
      <c r="U71" s="309" t="s">
        <v>184</v>
      </c>
      <c r="V71" s="308"/>
      <c r="W71" s="309" t="s">
        <v>183</v>
      </c>
      <c r="X71" s="308"/>
      <c r="Y71" s="309" t="s">
        <v>185</v>
      </c>
      <c r="Z71" s="309" t="s">
        <v>186</v>
      </c>
      <c r="AA71" s="309" t="str">
        <f t="shared" si="21"/>
        <v/>
      </c>
      <c r="AB71" s="305" t="s">
        <v>187</v>
      </c>
      <c r="AC71" s="306" t="str">
        <f t="shared" si="10"/>
        <v/>
      </c>
      <c r="AD71" s="507"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48" t="str">
        <f>IFERROR(VLOOKUP(K71,【参考】数式用!$A$2:$N$57,14,FALSE),"")</f>
        <v/>
      </c>
      <c r="AP71" s="548" t="str">
        <f t="shared" si="23"/>
        <v/>
      </c>
      <c r="AQ71" s="552" t="str">
        <f t="shared" si="24"/>
        <v/>
      </c>
      <c r="AR71" s="531" t="str">
        <f t="shared" si="25"/>
        <v>入力済</v>
      </c>
      <c r="AS71" s="548" t="str">
        <f t="shared" si="12"/>
        <v/>
      </c>
      <c r="AT71" s="531" t="str">
        <f t="shared" si="26"/>
        <v>入力済</v>
      </c>
      <c r="AU71" s="531" t="str">
        <f t="shared" si="32"/>
        <v/>
      </c>
      <c r="AV71" s="531" t="str">
        <f t="shared" si="27"/>
        <v/>
      </c>
      <c r="AW71" s="548" t="str">
        <f t="shared" si="28"/>
        <v/>
      </c>
      <c r="AX71" s="548" t="str">
        <f t="shared" si="14"/>
        <v/>
      </c>
      <c r="AY71" s="531" t="str">
        <f>IFERROR(VLOOKUP(K71,【参考】数式用!$AR$5:$AS$39,2, FALSE), "")</f>
        <v/>
      </c>
      <c r="AZ71" s="548" t="str">
        <f t="shared" si="15"/>
        <v/>
      </c>
      <c r="BA71" s="551" t="str">
        <f t="shared" si="29"/>
        <v>入力済</v>
      </c>
      <c r="BB71" s="531" t="str">
        <f>IFERROR(VLOOKUP(K71,【参考】数式用!$AX$3:$AY$59, 2, FALSE), "")</f>
        <v/>
      </c>
      <c r="BC71" s="548" t="str">
        <f t="shared" si="16"/>
        <v/>
      </c>
      <c r="BD71" s="551" t="str">
        <f t="shared" si="30"/>
        <v>入力済</v>
      </c>
      <c r="BE71" s="565" t="str">
        <f t="shared" si="17"/>
        <v/>
      </c>
      <c r="BF71" s="551" t="str">
        <f t="shared" si="31"/>
        <v/>
      </c>
      <c r="BG71" s="577"/>
      <c r="BH71" s="531" t="str">
        <f t="shared" si="18"/>
        <v/>
      </c>
      <c r="BI71" s="596" t="str">
        <f>IF(BH71="Ⅱロ有り",ROUNDDOWN(L71*VLOOKUP(K71,【参考】数式用!$A$4:$J$42,10,FALSE)*AA71,0),"")</f>
        <v/>
      </c>
      <c r="BJ71" s="596" t="str">
        <f>IF(BH71="Ⅱロなし",ROUNDDOWN(L71*VLOOKUP(K71,【参考】数式用!$A$4:$J$42,8,FALSE)*AA71,0),"")</f>
        <v/>
      </c>
    </row>
    <row r="72" spans="1:62" ht="109.9" customHeight="1" thickBot="1">
      <c r="A72" s="303">
        <v>59</v>
      </c>
      <c r="B72" s="933" t="str">
        <f>IF(基本情報入力シート!B94="","",基本情報入力シート!B94)</f>
        <v/>
      </c>
      <c r="C72" s="934"/>
      <c r="D72" s="934"/>
      <c r="E72" s="934"/>
      <c r="F72" s="935"/>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49" t="str">
        <f>IF(基本情報入力シート!AF94=0, "",基本情報入力シート!AF94)</f>
        <v/>
      </c>
      <c r="M72" s="573"/>
      <c r="N72" s="514" t="str">
        <f>IFERROR(VLOOKUP(K72,【参考】数式用!$A$2:$F$57,MATCH(M72,【参考】数式用!$C$3:$F$3,0)+2,0),"")</f>
        <v/>
      </c>
      <c r="O72" s="503"/>
      <c r="P72" s="546" t="str">
        <f>IFERROR(VLOOKUP(K72,【参考】数式用!$A$2:$F$57,MATCH(O72,【参考】数式用!$C$3:$F$3,0)+2,0),"")</f>
        <v/>
      </c>
      <c r="Q72" s="310" t="s">
        <v>118</v>
      </c>
      <c r="R72" s="308"/>
      <c r="S72" s="309" t="s">
        <v>183</v>
      </c>
      <c r="T72" s="308"/>
      <c r="U72" s="309" t="s">
        <v>184</v>
      </c>
      <c r="V72" s="308"/>
      <c r="W72" s="309" t="s">
        <v>183</v>
      </c>
      <c r="X72" s="308"/>
      <c r="Y72" s="309" t="s">
        <v>185</v>
      </c>
      <c r="Z72" s="309" t="s">
        <v>186</v>
      </c>
      <c r="AA72" s="309" t="str">
        <f t="shared" si="21"/>
        <v/>
      </c>
      <c r="AB72" s="305" t="s">
        <v>187</v>
      </c>
      <c r="AC72" s="306" t="str">
        <f t="shared" si="10"/>
        <v/>
      </c>
      <c r="AD72" s="507"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48" t="str">
        <f>IFERROR(VLOOKUP(K72,【参考】数式用!$A$2:$N$57,14,FALSE),"")</f>
        <v/>
      </c>
      <c r="AP72" s="548" t="str">
        <f t="shared" si="23"/>
        <v/>
      </c>
      <c r="AQ72" s="552" t="str">
        <f t="shared" si="24"/>
        <v/>
      </c>
      <c r="AR72" s="531" t="str">
        <f t="shared" si="25"/>
        <v>入力済</v>
      </c>
      <c r="AS72" s="548" t="str">
        <f t="shared" si="12"/>
        <v/>
      </c>
      <c r="AT72" s="531" t="str">
        <f t="shared" si="26"/>
        <v>入力済</v>
      </c>
      <c r="AU72" s="531" t="str">
        <f t="shared" si="32"/>
        <v/>
      </c>
      <c r="AV72" s="531" t="str">
        <f t="shared" si="27"/>
        <v/>
      </c>
      <c r="AW72" s="548" t="str">
        <f t="shared" si="28"/>
        <v/>
      </c>
      <c r="AX72" s="548" t="str">
        <f t="shared" si="14"/>
        <v/>
      </c>
      <c r="AY72" s="531" t="str">
        <f>IFERROR(VLOOKUP(K72,【参考】数式用!$AR$5:$AS$39,2, FALSE), "")</f>
        <v/>
      </c>
      <c r="AZ72" s="548" t="str">
        <f t="shared" si="15"/>
        <v/>
      </c>
      <c r="BA72" s="551" t="str">
        <f t="shared" si="29"/>
        <v>入力済</v>
      </c>
      <c r="BB72" s="531" t="str">
        <f>IFERROR(VLOOKUP(K72,【参考】数式用!$AX$3:$AY$59, 2, FALSE), "")</f>
        <v/>
      </c>
      <c r="BC72" s="548" t="str">
        <f t="shared" si="16"/>
        <v/>
      </c>
      <c r="BD72" s="551" t="str">
        <f t="shared" si="30"/>
        <v>入力済</v>
      </c>
      <c r="BE72" s="565" t="str">
        <f t="shared" si="17"/>
        <v/>
      </c>
      <c r="BF72" s="551" t="str">
        <f t="shared" si="31"/>
        <v/>
      </c>
      <c r="BG72" s="577"/>
      <c r="BH72" s="531" t="str">
        <f t="shared" si="18"/>
        <v/>
      </c>
      <c r="BI72" s="596" t="str">
        <f>IF(BH72="Ⅱロ有り",ROUNDDOWN(L72*VLOOKUP(K72,【参考】数式用!$A$4:$J$42,10,FALSE)*AA72,0),"")</f>
        <v/>
      </c>
      <c r="BJ72" s="596" t="str">
        <f>IF(BH72="Ⅱロなし",ROUNDDOWN(L72*VLOOKUP(K72,【参考】数式用!$A$4:$J$42,8,FALSE)*AA72,0),"")</f>
        <v/>
      </c>
    </row>
    <row r="73" spans="1:62" ht="109.9" customHeight="1" thickBot="1">
      <c r="A73" s="303">
        <v>60</v>
      </c>
      <c r="B73" s="933" t="str">
        <f>IF(基本情報入力シート!B95="","",基本情報入力シート!B95)</f>
        <v/>
      </c>
      <c r="C73" s="934"/>
      <c r="D73" s="934"/>
      <c r="E73" s="934"/>
      <c r="F73" s="935"/>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49" t="str">
        <f>IF(基本情報入力シート!AF95=0, "",基本情報入力シート!AF95)</f>
        <v/>
      </c>
      <c r="M73" s="573"/>
      <c r="N73" s="514" t="str">
        <f>IFERROR(VLOOKUP(K73,【参考】数式用!$A$2:$F$57,MATCH(M73,【参考】数式用!$C$3:$F$3,0)+2,0),"")</f>
        <v/>
      </c>
      <c r="O73" s="503"/>
      <c r="P73" s="546" t="str">
        <f>IFERROR(VLOOKUP(K73,【参考】数式用!$A$2:$F$57,MATCH(O73,【参考】数式用!$C$3:$F$3,0)+2,0),"")</f>
        <v/>
      </c>
      <c r="Q73" s="310" t="s">
        <v>118</v>
      </c>
      <c r="R73" s="308"/>
      <c r="S73" s="309" t="s">
        <v>183</v>
      </c>
      <c r="T73" s="308"/>
      <c r="U73" s="309" t="s">
        <v>184</v>
      </c>
      <c r="V73" s="308"/>
      <c r="W73" s="309" t="s">
        <v>183</v>
      </c>
      <c r="X73" s="308"/>
      <c r="Y73" s="309" t="s">
        <v>185</v>
      </c>
      <c r="Z73" s="309" t="s">
        <v>186</v>
      </c>
      <c r="AA73" s="309" t="str">
        <f t="shared" si="21"/>
        <v/>
      </c>
      <c r="AB73" s="305" t="s">
        <v>187</v>
      </c>
      <c r="AC73" s="306" t="str">
        <f t="shared" si="10"/>
        <v/>
      </c>
      <c r="AD73" s="507"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48" t="str">
        <f>IFERROR(VLOOKUP(K73,【参考】数式用!$A$2:$N$57,14,FALSE),"")</f>
        <v/>
      </c>
      <c r="AP73" s="548" t="str">
        <f t="shared" si="23"/>
        <v/>
      </c>
      <c r="AQ73" s="552" t="str">
        <f t="shared" si="24"/>
        <v/>
      </c>
      <c r="AR73" s="531" t="str">
        <f t="shared" si="25"/>
        <v>入力済</v>
      </c>
      <c r="AS73" s="548" t="str">
        <f t="shared" si="12"/>
        <v/>
      </c>
      <c r="AT73" s="531" t="str">
        <f t="shared" si="26"/>
        <v>入力済</v>
      </c>
      <c r="AU73" s="531" t="str">
        <f t="shared" si="32"/>
        <v/>
      </c>
      <c r="AV73" s="531" t="str">
        <f t="shared" si="27"/>
        <v/>
      </c>
      <c r="AW73" s="548" t="str">
        <f t="shared" si="28"/>
        <v/>
      </c>
      <c r="AX73" s="548" t="str">
        <f t="shared" si="14"/>
        <v/>
      </c>
      <c r="AY73" s="531" t="str">
        <f>IFERROR(VLOOKUP(K73,【参考】数式用!$AR$5:$AS$39,2, FALSE), "")</f>
        <v/>
      </c>
      <c r="AZ73" s="548" t="str">
        <f t="shared" si="15"/>
        <v/>
      </c>
      <c r="BA73" s="551" t="str">
        <f t="shared" si="29"/>
        <v>入力済</v>
      </c>
      <c r="BB73" s="531" t="str">
        <f>IFERROR(VLOOKUP(K73,【参考】数式用!$AX$3:$AY$59, 2, FALSE), "")</f>
        <v/>
      </c>
      <c r="BC73" s="548" t="str">
        <f t="shared" si="16"/>
        <v/>
      </c>
      <c r="BD73" s="551" t="str">
        <f t="shared" si="30"/>
        <v>入力済</v>
      </c>
      <c r="BE73" s="565" t="str">
        <f t="shared" si="17"/>
        <v/>
      </c>
      <c r="BF73" s="551" t="str">
        <f t="shared" si="31"/>
        <v/>
      </c>
      <c r="BG73" s="577"/>
      <c r="BH73" s="531" t="str">
        <f t="shared" si="18"/>
        <v/>
      </c>
      <c r="BI73" s="596" t="str">
        <f>IF(BH73="Ⅱロ有り",ROUNDDOWN(L73*VLOOKUP(K73,【参考】数式用!$A$4:$J$42,10,FALSE)*AA73,0),"")</f>
        <v/>
      </c>
      <c r="BJ73" s="596" t="str">
        <f>IF(BH73="Ⅱロなし",ROUNDDOWN(L73*VLOOKUP(K73,【参考】数式用!$A$4:$J$42,8,FALSE)*AA73,0),"")</f>
        <v/>
      </c>
    </row>
    <row r="74" spans="1:62" ht="109.9" customHeight="1" thickBot="1">
      <c r="A74" s="303">
        <v>61</v>
      </c>
      <c r="B74" s="933" t="str">
        <f>IF(基本情報入力シート!B96="","",基本情報入力シート!B96)</f>
        <v/>
      </c>
      <c r="C74" s="934"/>
      <c r="D74" s="934"/>
      <c r="E74" s="934"/>
      <c r="F74" s="935"/>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49" t="str">
        <f>IF(基本情報入力シート!AF96=0, "",基本情報入力シート!AF96)</f>
        <v/>
      </c>
      <c r="M74" s="573"/>
      <c r="N74" s="514" t="str">
        <f>IFERROR(VLOOKUP(K74,【参考】数式用!$A$2:$F$57,MATCH(M74,【参考】数式用!$C$3:$F$3,0)+2,0),"")</f>
        <v/>
      </c>
      <c r="O74" s="503"/>
      <c r="P74" s="546" t="str">
        <f>IFERROR(VLOOKUP(K74,【参考】数式用!$A$2:$F$57,MATCH(O74,【参考】数式用!$C$3:$F$3,0)+2,0),"")</f>
        <v/>
      </c>
      <c r="Q74" s="310" t="s">
        <v>118</v>
      </c>
      <c r="R74" s="308"/>
      <c r="S74" s="309" t="s">
        <v>183</v>
      </c>
      <c r="T74" s="308"/>
      <c r="U74" s="309" t="s">
        <v>184</v>
      </c>
      <c r="V74" s="308"/>
      <c r="W74" s="309" t="s">
        <v>183</v>
      </c>
      <c r="X74" s="308"/>
      <c r="Y74" s="309" t="s">
        <v>185</v>
      </c>
      <c r="Z74" s="309" t="s">
        <v>186</v>
      </c>
      <c r="AA74" s="309" t="str">
        <f t="shared" si="21"/>
        <v/>
      </c>
      <c r="AB74" s="305" t="s">
        <v>187</v>
      </c>
      <c r="AC74" s="306" t="str">
        <f t="shared" si="10"/>
        <v/>
      </c>
      <c r="AD74" s="507"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48" t="str">
        <f>IFERROR(VLOOKUP(K74,【参考】数式用!$A$2:$N$57,14,FALSE),"")</f>
        <v/>
      </c>
      <c r="AP74" s="548" t="str">
        <f t="shared" si="23"/>
        <v/>
      </c>
      <c r="AQ74" s="552" t="str">
        <f t="shared" si="24"/>
        <v/>
      </c>
      <c r="AR74" s="531" t="str">
        <f t="shared" si="25"/>
        <v>入力済</v>
      </c>
      <c r="AS74" s="548" t="str">
        <f t="shared" si="12"/>
        <v/>
      </c>
      <c r="AT74" s="531" t="str">
        <f t="shared" si="26"/>
        <v>入力済</v>
      </c>
      <c r="AU74" s="531" t="str">
        <f t="shared" si="32"/>
        <v/>
      </c>
      <c r="AV74" s="531" t="str">
        <f t="shared" si="27"/>
        <v/>
      </c>
      <c r="AW74" s="548" t="str">
        <f t="shared" si="28"/>
        <v/>
      </c>
      <c r="AX74" s="548" t="str">
        <f t="shared" si="14"/>
        <v/>
      </c>
      <c r="AY74" s="531" t="str">
        <f>IFERROR(VLOOKUP(K74,【参考】数式用!$AR$5:$AS$39,2, FALSE), "")</f>
        <v/>
      </c>
      <c r="AZ74" s="548" t="str">
        <f t="shared" si="15"/>
        <v/>
      </c>
      <c r="BA74" s="551" t="str">
        <f t="shared" si="29"/>
        <v>入力済</v>
      </c>
      <c r="BB74" s="531" t="str">
        <f>IFERROR(VLOOKUP(K74,【参考】数式用!$AX$3:$AY$59, 2, FALSE), "")</f>
        <v/>
      </c>
      <c r="BC74" s="548" t="str">
        <f t="shared" si="16"/>
        <v/>
      </c>
      <c r="BD74" s="551" t="str">
        <f t="shared" si="30"/>
        <v>入力済</v>
      </c>
      <c r="BE74" s="565" t="str">
        <f t="shared" si="17"/>
        <v/>
      </c>
      <c r="BF74" s="551" t="str">
        <f t="shared" si="31"/>
        <v/>
      </c>
      <c r="BG74" s="577"/>
      <c r="BH74" s="531" t="str">
        <f t="shared" si="18"/>
        <v/>
      </c>
      <c r="BI74" s="596" t="str">
        <f>IF(BH74="Ⅱロ有り",ROUNDDOWN(L74*VLOOKUP(K74,【参考】数式用!$A$4:$J$42,10,FALSE)*AA74,0),"")</f>
        <v/>
      </c>
      <c r="BJ74" s="596" t="str">
        <f>IF(BH74="Ⅱロなし",ROUNDDOWN(L74*VLOOKUP(K74,【参考】数式用!$A$4:$J$42,8,FALSE)*AA74,0),"")</f>
        <v/>
      </c>
    </row>
    <row r="75" spans="1:62" ht="109.9" customHeight="1" thickBot="1">
      <c r="A75" s="303">
        <v>62</v>
      </c>
      <c r="B75" s="933" t="str">
        <f>IF(基本情報入力シート!B97="","",基本情報入力シート!B97)</f>
        <v/>
      </c>
      <c r="C75" s="934"/>
      <c r="D75" s="934"/>
      <c r="E75" s="934"/>
      <c r="F75" s="935"/>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49" t="str">
        <f>IF(基本情報入力シート!AF97=0, "",基本情報入力シート!AF97)</f>
        <v/>
      </c>
      <c r="M75" s="573"/>
      <c r="N75" s="514" t="str">
        <f>IFERROR(VLOOKUP(K75,【参考】数式用!$A$2:$F$57,MATCH(M75,【参考】数式用!$C$3:$F$3,0)+2,0),"")</f>
        <v/>
      </c>
      <c r="O75" s="503"/>
      <c r="P75" s="546" t="str">
        <f>IFERROR(VLOOKUP(K75,【参考】数式用!$A$2:$F$57,MATCH(O75,【参考】数式用!$C$3:$F$3,0)+2,0),"")</f>
        <v/>
      </c>
      <c r="Q75" s="310" t="s">
        <v>118</v>
      </c>
      <c r="R75" s="308"/>
      <c r="S75" s="309" t="s">
        <v>183</v>
      </c>
      <c r="T75" s="308"/>
      <c r="U75" s="309" t="s">
        <v>184</v>
      </c>
      <c r="V75" s="308"/>
      <c r="W75" s="309" t="s">
        <v>183</v>
      </c>
      <c r="X75" s="308"/>
      <c r="Y75" s="309" t="s">
        <v>185</v>
      </c>
      <c r="Z75" s="309" t="s">
        <v>186</v>
      </c>
      <c r="AA75" s="309" t="str">
        <f t="shared" si="21"/>
        <v/>
      </c>
      <c r="AB75" s="305" t="s">
        <v>187</v>
      </c>
      <c r="AC75" s="306" t="str">
        <f t="shared" si="10"/>
        <v/>
      </c>
      <c r="AD75" s="507"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48" t="str">
        <f>IFERROR(VLOOKUP(K75,【参考】数式用!$A$2:$N$57,14,FALSE),"")</f>
        <v/>
      </c>
      <c r="AP75" s="548" t="str">
        <f t="shared" si="23"/>
        <v/>
      </c>
      <c r="AQ75" s="552" t="str">
        <f t="shared" si="24"/>
        <v/>
      </c>
      <c r="AR75" s="531" t="str">
        <f t="shared" si="25"/>
        <v>入力済</v>
      </c>
      <c r="AS75" s="548" t="str">
        <f t="shared" si="12"/>
        <v/>
      </c>
      <c r="AT75" s="531" t="str">
        <f t="shared" si="26"/>
        <v>入力済</v>
      </c>
      <c r="AU75" s="531" t="str">
        <f t="shared" si="32"/>
        <v/>
      </c>
      <c r="AV75" s="531" t="str">
        <f t="shared" si="27"/>
        <v/>
      </c>
      <c r="AW75" s="548" t="str">
        <f t="shared" si="28"/>
        <v/>
      </c>
      <c r="AX75" s="548" t="str">
        <f t="shared" si="14"/>
        <v/>
      </c>
      <c r="AY75" s="531" t="str">
        <f>IFERROR(VLOOKUP(K75,【参考】数式用!$AR$5:$AS$39,2, FALSE), "")</f>
        <v/>
      </c>
      <c r="AZ75" s="548" t="str">
        <f t="shared" si="15"/>
        <v/>
      </c>
      <c r="BA75" s="551" t="str">
        <f t="shared" si="29"/>
        <v>入力済</v>
      </c>
      <c r="BB75" s="531" t="str">
        <f>IFERROR(VLOOKUP(K75,【参考】数式用!$AX$3:$AY$59, 2, FALSE), "")</f>
        <v/>
      </c>
      <c r="BC75" s="548" t="str">
        <f t="shared" si="16"/>
        <v/>
      </c>
      <c r="BD75" s="551" t="str">
        <f t="shared" si="30"/>
        <v>入力済</v>
      </c>
      <c r="BE75" s="565" t="str">
        <f t="shared" si="17"/>
        <v/>
      </c>
      <c r="BF75" s="551" t="str">
        <f t="shared" si="31"/>
        <v/>
      </c>
      <c r="BG75" s="577"/>
      <c r="BH75" s="531" t="str">
        <f t="shared" si="18"/>
        <v/>
      </c>
      <c r="BI75" s="596" t="str">
        <f>IF(BH75="Ⅱロ有り",ROUNDDOWN(L75*VLOOKUP(K75,【参考】数式用!$A$4:$J$42,10,FALSE)*AA75,0),"")</f>
        <v/>
      </c>
      <c r="BJ75" s="596" t="str">
        <f>IF(BH75="Ⅱロなし",ROUNDDOWN(L75*VLOOKUP(K75,【参考】数式用!$A$4:$J$42,8,FALSE)*AA75,0),"")</f>
        <v/>
      </c>
    </row>
    <row r="76" spans="1:62" ht="109.9" customHeight="1" thickBot="1">
      <c r="A76" s="303">
        <v>63</v>
      </c>
      <c r="B76" s="933" t="str">
        <f>IF(基本情報入力シート!B98="","",基本情報入力シート!B98)</f>
        <v/>
      </c>
      <c r="C76" s="934"/>
      <c r="D76" s="934"/>
      <c r="E76" s="934"/>
      <c r="F76" s="935"/>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49" t="str">
        <f>IF(基本情報入力シート!AF98=0, "",基本情報入力シート!AF98)</f>
        <v/>
      </c>
      <c r="M76" s="573"/>
      <c r="N76" s="514" t="str">
        <f>IFERROR(VLOOKUP(K76,【参考】数式用!$A$2:$F$57,MATCH(M76,【参考】数式用!$C$3:$F$3,0)+2,0),"")</f>
        <v/>
      </c>
      <c r="O76" s="503"/>
      <c r="P76" s="546" t="str">
        <f>IFERROR(VLOOKUP(K76,【参考】数式用!$A$2:$F$57,MATCH(O76,【参考】数式用!$C$3:$F$3,0)+2,0),"")</f>
        <v/>
      </c>
      <c r="Q76" s="310" t="s">
        <v>118</v>
      </c>
      <c r="R76" s="308"/>
      <c r="S76" s="309" t="s">
        <v>183</v>
      </c>
      <c r="T76" s="308"/>
      <c r="U76" s="309" t="s">
        <v>184</v>
      </c>
      <c r="V76" s="308"/>
      <c r="W76" s="309" t="s">
        <v>183</v>
      </c>
      <c r="X76" s="308"/>
      <c r="Y76" s="309" t="s">
        <v>185</v>
      </c>
      <c r="Z76" s="309" t="s">
        <v>186</v>
      </c>
      <c r="AA76" s="309" t="str">
        <f t="shared" si="21"/>
        <v/>
      </c>
      <c r="AB76" s="305" t="s">
        <v>187</v>
      </c>
      <c r="AC76" s="306" t="str">
        <f t="shared" si="10"/>
        <v/>
      </c>
      <c r="AD76" s="507"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48" t="str">
        <f>IFERROR(VLOOKUP(K76,【参考】数式用!$A$2:$N$57,14,FALSE),"")</f>
        <v/>
      </c>
      <c r="AP76" s="548" t="str">
        <f t="shared" si="23"/>
        <v/>
      </c>
      <c r="AQ76" s="552" t="str">
        <f t="shared" si="24"/>
        <v/>
      </c>
      <c r="AR76" s="531" t="str">
        <f t="shared" si="25"/>
        <v>入力済</v>
      </c>
      <c r="AS76" s="548" t="str">
        <f t="shared" si="12"/>
        <v/>
      </c>
      <c r="AT76" s="531" t="str">
        <f t="shared" si="26"/>
        <v>入力済</v>
      </c>
      <c r="AU76" s="531" t="str">
        <f t="shared" si="32"/>
        <v/>
      </c>
      <c r="AV76" s="531" t="str">
        <f t="shared" si="27"/>
        <v/>
      </c>
      <c r="AW76" s="548" t="str">
        <f t="shared" si="28"/>
        <v/>
      </c>
      <c r="AX76" s="548" t="str">
        <f t="shared" si="14"/>
        <v/>
      </c>
      <c r="AY76" s="531" t="str">
        <f>IFERROR(VLOOKUP(K76,【参考】数式用!$AR$5:$AS$39,2, FALSE), "")</f>
        <v/>
      </c>
      <c r="AZ76" s="548" t="str">
        <f t="shared" si="15"/>
        <v/>
      </c>
      <c r="BA76" s="551" t="str">
        <f t="shared" si="29"/>
        <v>入力済</v>
      </c>
      <c r="BB76" s="531" t="str">
        <f>IFERROR(VLOOKUP(K76,【参考】数式用!$AX$3:$AY$59, 2, FALSE), "")</f>
        <v/>
      </c>
      <c r="BC76" s="548" t="str">
        <f t="shared" si="16"/>
        <v/>
      </c>
      <c r="BD76" s="551" t="str">
        <f t="shared" si="30"/>
        <v>入力済</v>
      </c>
      <c r="BE76" s="565" t="str">
        <f t="shared" si="17"/>
        <v/>
      </c>
      <c r="BF76" s="551" t="str">
        <f t="shared" si="31"/>
        <v/>
      </c>
      <c r="BG76" s="577"/>
      <c r="BH76" s="531" t="str">
        <f t="shared" si="18"/>
        <v/>
      </c>
      <c r="BI76" s="596" t="str">
        <f>IF(BH76="Ⅱロ有り",ROUNDDOWN(L76*VLOOKUP(K76,【参考】数式用!$A$4:$J$42,10,FALSE)*AA76,0),"")</f>
        <v/>
      </c>
      <c r="BJ76" s="596" t="str">
        <f>IF(BH76="Ⅱロなし",ROUNDDOWN(L76*VLOOKUP(K76,【参考】数式用!$A$4:$J$42,8,FALSE)*AA76,0),"")</f>
        <v/>
      </c>
    </row>
    <row r="77" spans="1:62" ht="109.9" customHeight="1" thickBot="1">
      <c r="A77" s="303">
        <v>64</v>
      </c>
      <c r="B77" s="933" t="str">
        <f>IF(基本情報入力シート!B99="","",基本情報入力シート!B99)</f>
        <v/>
      </c>
      <c r="C77" s="934"/>
      <c r="D77" s="934"/>
      <c r="E77" s="934"/>
      <c r="F77" s="935"/>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49" t="str">
        <f>IF(基本情報入力シート!AF99=0, "",基本情報入力シート!AF99)</f>
        <v/>
      </c>
      <c r="M77" s="573"/>
      <c r="N77" s="514" t="str">
        <f>IFERROR(VLOOKUP(K77,【参考】数式用!$A$2:$F$57,MATCH(M77,【参考】数式用!$C$3:$F$3,0)+2,0),"")</f>
        <v/>
      </c>
      <c r="O77" s="503"/>
      <c r="P77" s="546" t="str">
        <f>IFERROR(VLOOKUP(K77,【参考】数式用!$A$2:$F$57,MATCH(O77,【参考】数式用!$C$3:$F$3,0)+2,0),"")</f>
        <v/>
      </c>
      <c r="Q77" s="310" t="s">
        <v>118</v>
      </c>
      <c r="R77" s="308"/>
      <c r="S77" s="309" t="s">
        <v>183</v>
      </c>
      <c r="T77" s="308"/>
      <c r="U77" s="309" t="s">
        <v>184</v>
      </c>
      <c r="V77" s="308"/>
      <c r="W77" s="309" t="s">
        <v>183</v>
      </c>
      <c r="X77" s="308"/>
      <c r="Y77" s="309" t="s">
        <v>185</v>
      </c>
      <c r="Z77" s="309" t="s">
        <v>186</v>
      </c>
      <c r="AA77" s="309" t="str">
        <f t="shared" si="21"/>
        <v/>
      </c>
      <c r="AB77" s="305" t="s">
        <v>187</v>
      </c>
      <c r="AC77" s="306" t="str">
        <f t="shared" si="10"/>
        <v/>
      </c>
      <c r="AD77" s="507"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48" t="str">
        <f>IFERROR(VLOOKUP(K77,【参考】数式用!$A$2:$N$57,14,FALSE),"")</f>
        <v/>
      </c>
      <c r="AP77" s="548" t="str">
        <f t="shared" ref="AP77:AP108" si="34">IF(AND(K77&lt;&gt;"",AO77="加算対象"),"N列に色付け","")</f>
        <v/>
      </c>
      <c r="AQ77" s="552" t="str">
        <f t="shared" ref="AQ77:AQ113" si="35">IF(AND(AE77&lt;&gt;0,AE77&lt;&gt;"",AO77="加算対象"),IF(AF77="○","入力済","未入力"),"")</f>
        <v/>
      </c>
      <c r="AR77" s="531" t="str">
        <f t="shared" ref="AR77:AR113" si="36">IF(AND(O77&lt;&gt;"", AG77="",AO77="加算対象"), "未入力", "入力済")</f>
        <v>入力済</v>
      </c>
      <c r="AS77" s="548" t="str">
        <f t="shared" si="12"/>
        <v/>
      </c>
      <c r="AT77" s="531" t="str">
        <f t="shared" ref="AT77:AT113" si="37">IF(AND(O77&lt;&gt;"", O77&lt;&gt;"処遇改善加算Ⅳ", AH77=""), "未入力", "入力済")</f>
        <v>入力済</v>
      </c>
      <c r="AU77" s="531" t="str">
        <f t="shared" si="32"/>
        <v/>
      </c>
      <c r="AV77" s="531" t="str">
        <f t="shared" ref="AV77:AV108" si="38">IF(AND(AO77="加算対象",O77&lt;&gt;"処遇改善加算Ⅲ",O77&lt;&gt;"処遇改善加算Ⅳ", O77&lt;&gt;"", AU77&lt;&gt;"対象外"), 1,"")</f>
        <v/>
      </c>
      <c r="AW77" s="548" t="str">
        <f t="shared" ref="AW77:AW108" si="39">IF(AND(AV77=1, OR(AI77=0,AI77=""),AO77="加算対象"),"AH列に色付け","")</f>
        <v/>
      </c>
      <c r="AX77" s="548" t="str">
        <f t="shared" si="14"/>
        <v/>
      </c>
      <c r="AY77" s="531" t="str">
        <f>IFERROR(VLOOKUP(K77,【参考】数式用!$AR$5:$AS$39,2, FALSE), "")</f>
        <v/>
      </c>
      <c r="AZ77" s="548" t="str">
        <f t="shared" si="15"/>
        <v/>
      </c>
      <c r="BA77" s="551" t="str">
        <f t="shared" ref="BA77:BA113" si="40">IF(AND(O77="処遇改善加算Ⅰ", AJ77=""), "未入力","入力済")</f>
        <v>入力済</v>
      </c>
      <c r="BB77" s="531" t="str">
        <f>IFERROR(VLOOKUP(K77,【参考】数式用!$AX$3:$AY$59, 2, FALSE), "")</f>
        <v/>
      </c>
      <c r="BC77" s="548" t="str">
        <f t="shared" si="16"/>
        <v/>
      </c>
      <c r="BD77" s="551" t="str">
        <f t="shared" ref="BD77:BD113" si="41">IF(AND(COUNTIF(AG77:AI77,"*令和８年度特例要件を*")&gt;0,AK77=""), "未入力","入力済")</f>
        <v>入力済</v>
      </c>
      <c r="BE77" s="565" t="str">
        <f t="shared" si="17"/>
        <v/>
      </c>
      <c r="BF77" s="551" t="str">
        <f t="shared" ref="BF77:BF113" si="42">G77</f>
        <v/>
      </c>
      <c r="BG77" s="577"/>
      <c r="BH77" s="531" t="str">
        <f t="shared" si="18"/>
        <v/>
      </c>
      <c r="BI77" s="596" t="str">
        <f>IF(BH77="Ⅱロ有り",ROUNDDOWN(L77*VLOOKUP(K77,【参考】数式用!$A$4:$J$42,10,FALSE)*AA77,0),"")</f>
        <v/>
      </c>
      <c r="BJ77" s="596" t="str">
        <f>IF(BH77="Ⅱロなし",ROUNDDOWN(L77*VLOOKUP(K77,【参考】数式用!$A$4:$J$42,8,FALSE)*AA77,0),"")</f>
        <v/>
      </c>
    </row>
    <row r="78" spans="1:62" ht="109.9" customHeight="1" thickBot="1">
      <c r="A78" s="303">
        <v>65</v>
      </c>
      <c r="B78" s="933" t="str">
        <f>IF(基本情報入力シート!B100="","",基本情報入力シート!B100)</f>
        <v/>
      </c>
      <c r="C78" s="934"/>
      <c r="D78" s="934"/>
      <c r="E78" s="934"/>
      <c r="F78" s="935"/>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49" t="str">
        <f>IF(基本情報入力シート!AF100=0, "",基本情報入力シート!AF100)</f>
        <v/>
      </c>
      <c r="M78" s="573"/>
      <c r="N78" s="514" t="str">
        <f>IFERROR(VLOOKUP(K78,【参考】数式用!$A$2:$F$57,MATCH(M78,【参考】数式用!$C$3:$F$3,0)+2,0),"")</f>
        <v/>
      </c>
      <c r="O78" s="503"/>
      <c r="P78" s="546" t="str">
        <f>IFERROR(VLOOKUP(K78,【参考】数式用!$A$2:$F$57,MATCH(O78,【参考】数式用!$C$3:$F$3,0)+2,0),"")</f>
        <v/>
      </c>
      <c r="Q78" s="310" t="s">
        <v>118</v>
      </c>
      <c r="R78" s="308"/>
      <c r="S78" s="309" t="s">
        <v>183</v>
      </c>
      <c r="T78" s="308"/>
      <c r="U78" s="309" t="s">
        <v>184</v>
      </c>
      <c r="V78" s="308"/>
      <c r="W78" s="309" t="s">
        <v>183</v>
      </c>
      <c r="X78" s="308"/>
      <c r="Y78" s="309" t="s">
        <v>185</v>
      </c>
      <c r="Z78" s="309" t="s">
        <v>186</v>
      </c>
      <c r="AA78" s="309" t="str">
        <f t="shared" si="21"/>
        <v/>
      </c>
      <c r="AB78" s="305" t="s">
        <v>187</v>
      </c>
      <c r="AC78" s="306" t="str">
        <f t="shared" ref="AC78:AC113" si="43">IFERROR(ROUNDDOWN(ROUND(L78*P78,0),0)*AA78,"")</f>
        <v/>
      </c>
      <c r="AD78" s="507"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48" t="str">
        <f>IFERROR(VLOOKUP(K78,【参考】数式用!$A$2:$N$57,14,FALSE),"")</f>
        <v/>
      </c>
      <c r="AP78" s="548" t="str">
        <f t="shared" si="34"/>
        <v/>
      </c>
      <c r="AQ78" s="552" t="str">
        <f t="shared" si="35"/>
        <v/>
      </c>
      <c r="AR78" s="531" t="str">
        <f t="shared" si="36"/>
        <v>入力済</v>
      </c>
      <c r="AS78" s="548" t="str">
        <f t="shared" ref="AS78:AS113" si="45">IF(AND(O78&lt;&gt;"", O78&lt;&gt;"処遇改善加算Ⅳ",AO78="加算対象"),"AH列に色付け","")</f>
        <v/>
      </c>
      <c r="AT78" s="531" t="str">
        <f t="shared" si="37"/>
        <v>入力済</v>
      </c>
      <c r="AU78" s="531" t="str">
        <f t="shared" ref="AU78:AU113" si="46">IF(OR(O78="処遇改善加算Ⅰ",O78="処遇改善加算Ⅱ"),"対象","")</f>
        <v/>
      </c>
      <c r="AV78" s="531" t="str">
        <f t="shared" si="38"/>
        <v/>
      </c>
      <c r="AW78" s="548" t="str">
        <f t="shared" si="39"/>
        <v/>
      </c>
      <c r="AX78" s="548" t="str">
        <f t="shared" ref="AX78:AX113" si="47">IF(AND(O78&lt;&gt;"", O78&lt;&gt;"処遇改善加算Ⅲ", O78&lt;&gt;"処遇改善加算Ⅳ",O78&lt;&gt;"処遇改善加算"), "対象", "")</f>
        <v/>
      </c>
      <c r="AY78" s="531" t="str">
        <f>IFERROR(VLOOKUP(K78,【参考】数式用!$AR$5:$AS$39,2, FALSE), "")</f>
        <v/>
      </c>
      <c r="AZ78" s="548" t="str">
        <f t="shared" ref="AZ78:AZ113" si="48">IF(AND(AO78="加算対象",O78="処遇改善加算Ⅰ"),"AJ列に色付け","")</f>
        <v/>
      </c>
      <c r="BA78" s="551" t="str">
        <f t="shared" si="40"/>
        <v>入力済</v>
      </c>
      <c r="BB78" s="531" t="str">
        <f>IFERROR(VLOOKUP(K78,【参考】数式用!$AX$3:$AY$59, 2, FALSE), "")</f>
        <v/>
      </c>
      <c r="BC78" s="548" t="str">
        <f t="shared" ref="BC78:BC113" si="49">IF(COUNTIF(AG78:AI78,"*令和８年度特例要件を*")&gt;0,"AK列に色付け","")</f>
        <v/>
      </c>
      <c r="BD78" s="551" t="str">
        <f t="shared" si="41"/>
        <v>入力済</v>
      </c>
      <c r="BE78" s="565" t="str">
        <f t="shared" ref="BE78:BE113" si="50">IF(BC78="AK列に色付け","入力必要","")</f>
        <v/>
      </c>
      <c r="BF78" s="551" t="str">
        <f t="shared" si="42"/>
        <v/>
      </c>
      <c r="BG78" s="577"/>
      <c r="BH78" s="531"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596" t="str">
        <f>IF(BH78="Ⅱロ有り",ROUNDDOWN(L78*VLOOKUP(K78,【参考】数式用!$A$4:$J$42,10,FALSE)*AA78,0),"")</f>
        <v/>
      </c>
      <c r="BJ78" s="596" t="str">
        <f>IF(BH78="Ⅱロなし",ROUNDDOWN(L78*VLOOKUP(K78,【参考】数式用!$A$4:$J$42,8,FALSE)*AA78,0),"")</f>
        <v/>
      </c>
    </row>
    <row r="79" spans="1:62" ht="109.9" customHeight="1" thickBot="1">
      <c r="A79" s="303">
        <v>66</v>
      </c>
      <c r="B79" s="933" t="str">
        <f>IF(基本情報入力シート!B101="","",基本情報入力シート!B101)</f>
        <v/>
      </c>
      <c r="C79" s="934"/>
      <c r="D79" s="934"/>
      <c r="E79" s="934"/>
      <c r="F79" s="935"/>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49" t="str">
        <f>IF(基本情報入力シート!AF101=0, "",基本情報入力シート!AF101)</f>
        <v/>
      </c>
      <c r="M79" s="573"/>
      <c r="N79" s="514" t="str">
        <f>IFERROR(VLOOKUP(K79,【参考】数式用!$A$2:$F$57,MATCH(M79,【参考】数式用!$C$3:$F$3,0)+2,0),"")</f>
        <v/>
      </c>
      <c r="O79" s="503"/>
      <c r="P79" s="546" t="str">
        <f>IFERROR(VLOOKUP(K79,【参考】数式用!$A$2:$F$57,MATCH(O79,【参考】数式用!$C$3:$F$3,0)+2,0),"")</f>
        <v/>
      </c>
      <c r="Q79" s="310" t="s">
        <v>118</v>
      </c>
      <c r="R79" s="308"/>
      <c r="S79" s="309" t="s">
        <v>183</v>
      </c>
      <c r="T79" s="308"/>
      <c r="U79" s="309" t="s">
        <v>184</v>
      </c>
      <c r="V79" s="308"/>
      <c r="W79" s="309" t="s">
        <v>183</v>
      </c>
      <c r="X79" s="308"/>
      <c r="Y79" s="309" t="s">
        <v>185</v>
      </c>
      <c r="Z79" s="309" t="s">
        <v>186</v>
      </c>
      <c r="AA79" s="309" t="str">
        <f t="shared" si="21"/>
        <v/>
      </c>
      <c r="AB79" s="305" t="s">
        <v>187</v>
      </c>
      <c r="AC79" s="306" t="str">
        <f t="shared" si="43"/>
        <v/>
      </c>
      <c r="AD79" s="507"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48" t="str">
        <f>IFERROR(VLOOKUP(K79,【参考】数式用!$A$2:$N$57,14,FALSE),"")</f>
        <v/>
      </c>
      <c r="AP79" s="548" t="str">
        <f t="shared" si="34"/>
        <v/>
      </c>
      <c r="AQ79" s="552" t="str">
        <f t="shared" si="35"/>
        <v/>
      </c>
      <c r="AR79" s="531" t="str">
        <f t="shared" si="36"/>
        <v>入力済</v>
      </c>
      <c r="AS79" s="548" t="str">
        <f t="shared" si="45"/>
        <v/>
      </c>
      <c r="AT79" s="531" t="str">
        <f t="shared" si="37"/>
        <v>入力済</v>
      </c>
      <c r="AU79" s="531" t="str">
        <f t="shared" si="46"/>
        <v/>
      </c>
      <c r="AV79" s="531" t="str">
        <f t="shared" si="38"/>
        <v/>
      </c>
      <c r="AW79" s="548" t="str">
        <f t="shared" si="39"/>
        <v/>
      </c>
      <c r="AX79" s="548" t="str">
        <f t="shared" si="47"/>
        <v/>
      </c>
      <c r="AY79" s="531" t="str">
        <f>IFERROR(VLOOKUP(K79,【参考】数式用!$AR$5:$AS$39,2, FALSE), "")</f>
        <v/>
      </c>
      <c r="AZ79" s="548" t="str">
        <f t="shared" si="48"/>
        <v/>
      </c>
      <c r="BA79" s="551" t="str">
        <f t="shared" si="40"/>
        <v>入力済</v>
      </c>
      <c r="BB79" s="531" t="str">
        <f>IFERROR(VLOOKUP(K79,【参考】数式用!$AX$3:$AY$59, 2, FALSE), "")</f>
        <v/>
      </c>
      <c r="BC79" s="548" t="str">
        <f t="shared" si="49"/>
        <v/>
      </c>
      <c r="BD79" s="551" t="str">
        <f t="shared" si="41"/>
        <v>入力済</v>
      </c>
      <c r="BE79" s="565" t="str">
        <f t="shared" si="50"/>
        <v/>
      </c>
      <c r="BF79" s="551" t="str">
        <f t="shared" si="42"/>
        <v/>
      </c>
      <c r="BG79" s="577"/>
      <c r="BH79" s="531" t="str">
        <f t="shared" si="51"/>
        <v/>
      </c>
      <c r="BI79" s="596" t="str">
        <f>IF(BH79="Ⅱロ有り",ROUNDDOWN(L79*VLOOKUP(K79,【参考】数式用!$A$4:$J$42,10,FALSE)*AA79,0),"")</f>
        <v/>
      </c>
      <c r="BJ79" s="596" t="str">
        <f>IF(BH79="Ⅱロなし",ROUNDDOWN(L79*VLOOKUP(K79,【参考】数式用!$A$4:$J$42,8,FALSE)*AA79,0),"")</f>
        <v/>
      </c>
    </row>
    <row r="80" spans="1:62" ht="109.9" customHeight="1" thickBot="1">
      <c r="A80" s="303">
        <v>67</v>
      </c>
      <c r="B80" s="933" t="str">
        <f>IF(基本情報入力シート!B102="","",基本情報入力シート!B102)</f>
        <v/>
      </c>
      <c r="C80" s="934"/>
      <c r="D80" s="934"/>
      <c r="E80" s="934"/>
      <c r="F80" s="935"/>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49" t="str">
        <f>IF(基本情報入力シート!AF102=0, "",基本情報入力シート!AF102)</f>
        <v/>
      </c>
      <c r="M80" s="573"/>
      <c r="N80" s="514" t="str">
        <f>IFERROR(VLOOKUP(K80,【参考】数式用!$A$2:$F$57,MATCH(M80,【参考】数式用!$C$3:$F$3,0)+2,0),"")</f>
        <v/>
      </c>
      <c r="O80" s="503"/>
      <c r="P80" s="546" t="str">
        <f>IFERROR(VLOOKUP(K80,【参考】数式用!$A$2:$F$57,MATCH(O80,【参考】数式用!$C$3:$F$3,0)+2,0),"")</f>
        <v/>
      </c>
      <c r="Q80" s="310" t="s">
        <v>118</v>
      </c>
      <c r="R80" s="308"/>
      <c r="S80" s="309" t="s">
        <v>183</v>
      </c>
      <c r="T80" s="308"/>
      <c r="U80" s="309" t="s">
        <v>184</v>
      </c>
      <c r="V80" s="308"/>
      <c r="W80" s="309" t="s">
        <v>183</v>
      </c>
      <c r="X80" s="308"/>
      <c r="Y80" s="309" t="s">
        <v>185</v>
      </c>
      <c r="Z80" s="309" t="s">
        <v>186</v>
      </c>
      <c r="AA80" s="309" t="str">
        <f t="shared" si="21"/>
        <v/>
      </c>
      <c r="AB80" s="305" t="s">
        <v>187</v>
      </c>
      <c r="AC80" s="306" t="str">
        <f t="shared" si="43"/>
        <v/>
      </c>
      <c r="AD80" s="507"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48" t="str">
        <f>IFERROR(VLOOKUP(K80,【参考】数式用!$A$2:$N$57,14,FALSE),"")</f>
        <v/>
      </c>
      <c r="AP80" s="548" t="str">
        <f t="shared" si="34"/>
        <v/>
      </c>
      <c r="AQ80" s="552" t="str">
        <f t="shared" si="35"/>
        <v/>
      </c>
      <c r="AR80" s="531" t="str">
        <f t="shared" si="36"/>
        <v>入力済</v>
      </c>
      <c r="AS80" s="548" t="str">
        <f t="shared" si="45"/>
        <v/>
      </c>
      <c r="AT80" s="531" t="str">
        <f t="shared" si="37"/>
        <v>入力済</v>
      </c>
      <c r="AU80" s="531" t="str">
        <f t="shared" si="46"/>
        <v/>
      </c>
      <c r="AV80" s="531" t="str">
        <f t="shared" si="38"/>
        <v/>
      </c>
      <c r="AW80" s="548" t="str">
        <f t="shared" si="39"/>
        <v/>
      </c>
      <c r="AX80" s="548" t="str">
        <f t="shared" si="47"/>
        <v/>
      </c>
      <c r="AY80" s="531" t="str">
        <f>IFERROR(VLOOKUP(K80,【参考】数式用!$AR$5:$AS$39,2, FALSE), "")</f>
        <v/>
      </c>
      <c r="AZ80" s="548" t="str">
        <f t="shared" si="48"/>
        <v/>
      </c>
      <c r="BA80" s="551" t="str">
        <f t="shared" si="40"/>
        <v>入力済</v>
      </c>
      <c r="BB80" s="531" t="str">
        <f>IFERROR(VLOOKUP(K80,【参考】数式用!$AX$3:$AY$59, 2, FALSE), "")</f>
        <v/>
      </c>
      <c r="BC80" s="548" t="str">
        <f t="shared" si="49"/>
        <v/>
      </c>
      <c r="BD80" s="551" t="str">
        <f t="shared" si="41"/>
        <v>入力済</v>
      </c>
      <c r="BE80" s="565" t="str">
        <f t="shared" si="50"/>
        <v/>
      </c>
      <c r="BF80" s="551" t="str">
        <f t="shared" si="42"/>
        <v/>
      </c>
      <c r="BG80" s="577"/>
      <c r="BH80" s="531" t="str">
        <f t="shared" si="51"/>
        <v/>
      </c>
      <c r="BI80" s="596" t="str">
        <f>IF(BH80="Ⅱロ有り",ROUNDDOWN(L80*VLOOKUP(K80,【参考】数式用!$A$4:$J$42,10,FALSE)*AA80,0),"")</f>
        <v/>
      </c>
      <c r="BJ80" s="596" t="str">
        <f>IF(BH80="Ⅱロなし",ROUNDDOWN(L80*VLOOKUP(K80,【参考】数式用!$A$4:$J$42,8,FALSE)*AA80,0),"")</f>
        <v/>
      </c>
    </row>
    <row r="81" spans="1:62" ht="109.9" customHeight="1" thickBot="1">
      <c r="A81" s="303">
        <v>68</v>
      </c>
      <c r="B81" s="933" t="str">
        <f>IF(基本情報入力シート!B103="","",基本情報入力シート!B103)</f>
        <v/>
      </c>
      <c r="C81" s="934"/>
      <c r="D81" s="934"/>
      <c r="E81" s="934"/>
      <c r="F81" s="935"/>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49" t="str">
        <f>IF(基本情報入力シート!AF103=0, "",基本情報入力シート!AF103)</f>
        <v/>
      </c>
      <c r="M81" s="573"/>
      <c r="N81" s="514" t="str">
        <f>IFERROR(VLOOKUP(K81,【参考】数式用!$A$2:$F$57,MATCH(M81,【参考】数式用!$C$3:$F$3,0)+2,0),"")</f>
        <v/>
      </c>
      <c r="O81" s="503"/>
      <c r="P81" s="546" t="str">
        <f>IFERROR(VLOOKUP(K81,【参考】数式用!$A$2:$F$57,MATCH(O81,【参考】数式用!$C$3:$F$3,0)+2,0),"")</f>
        <v/>
      </c>
      <c r="Q81" s="310" t="s">
        <v>118</v>
      </c>
      <c r="R81" s="308"/>
      <c r="S81" s="309" t="s">
        <v>183</v>
      </c>
      <c r="T81" s="308"/>
      <c r="U81" s="309" t="s">
        <v>184</v>
      </c>
      <c r="V81" s="308"/>
      <c r="W81" s="309" t="s">
        <v>183</v>
      </c>
      <c r="X81" s="308"/>
      <c r="Y81" s="309" t="s">
        <v>185</v>
      </c>
      <c r="Z81" s="309" t="s">
        <v>186</v>
      </c>
      <c r="AA81" s="309" t="str">
        <f t="shared" si="21"/>
        <v/>
      </c>
      <c r="AB81" s="305" t="s">
        <v>187</v>
      </c>
      <c r="AC81" s="306" t="str">
        <f t="shared" si="43"/>
        <v/>
      </c>
      <c r="AD81" s="507"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48" t="str">
        <f>IFERROR(VLOOKUP(K81,【参考】数式用!$A$2:$N$57,14,FALSE),"")</f>
        <v/>
      </c>
      <c r="AP81" s="548" t="str">
        <f t="shared" si="34"/>
        <v/>
      </c>
      <c r="AQ81" s="552" t="str">
        <f t="shared" si="35"/>
        <v/>
      </c>
      <c r="AR81" s="531" t="str">
        <f t="shared" si="36"/>
        <v>入力済</v>
      </c>
      <c r="AS81" s="548" t="str">
        <f t="shared" si="45"/>
        <v/>
      </c>
      <c r="AT81" s="531" t="str">
        <f t="shared" si="37"/>
        <v>入力済</v>
      </c>
      <c r="AU81" s="531" t="str">
        <f t="shared" si="46"/>
        <v/>
      </c>
      <c r="AV81" s="531" t="str">
        <f t="shared" si="38"/>
        <v/>
      </c>
      <c r="AW81" s="548" t="str">
        <f t="shared" si="39"/>
        <v/>
      </c>
      <c r="AX81" s="548" t="str">
        <f t="shared" si="47"/>
        <v/>
      </c>
      <c r="AY81" s="531" t="str">
        <f>IFERROR(VLOOKUP(K81,【参考】数式用!$AR$5:$AS$39,2, FALSE), "")</f>
        <v/>
      </c>
      <c r="AZ81" s="548" t="str">
        <f t="shared" si="48"/>
        <v/>
      </c>
      <c r="BA81" s="551" t="str">
        <f t="shared" si="40"/>
        <v>入力済</v>
      </c>
      <c r="BB81" s="531" t="str">
        <f>IFERROR(VLOOKUP(K81,【参考】数式用!$AX$3:$AY$59, 2, FALSE), "")</f>
        <v/>
      </c>
      <c r="BC81" s="548" t="str">
        <f t="shared" si="49"/>
        <v/>
      </c>
      <c r="BD81" s="551" t="str">
        <f t="shared" si="41"/>
        <v>入力済</v>
      </c>
      <c r="BE81" s="565" t="str">
        <f t="shared" si="50"/>
        <v/>
      </c>
      <c r="BF81" s="551" t="str">
        <f t="shared" si="42"/>
        <v/>
      </c>
      <c r="BG81" s="577"/>
      <c r="BH81" s="531" t="str">
        <f t="shared" si="51"/>
        <v/>
      </c>
      <c r="BI81" s="596" t="str">
        <f>IF(BH81="Ⅱロ有り",ROUNDDOWN(L81*VLOOKUP(K81,【参考】数式用!$A$4:$J$42,10,FALSE)*AA81,0),"")</f>
        <v/>
      </c>
      <c r="BJ81" s="596" t="str">
        <f>IF(BH81="Ⅱロなし",ROUNDDOWN(L81*VLOOKUP(K81,【参考】数式用!$A$4:$J$42,8,FALSE)*AA81,0),"")</f>
        <v/>
      </c>
    </row>
    <row r="82" spans="1:62" ht="109.9" customHeight="1" thickBot="1">
      <c r="A82" s="303">
        <v>69</v>
      </c>
      <c r="B82" s="933" t="str">
        <f>IF(基本情報入力シート!B104="","",基本情報入力シート!B104)</f>
        <v/>
      </c>
      <c r="C82" s="934"/>
      <c r="D82" s="934"/>
      <c r="E82" s="934"/>
      <c r="F82" s="935"/>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49" t="str">
        <f>IF(基本情報入力シート!AF104=0, "",基本情報入力シート!AF104)</f>
        <v/>
      </c>
      <c r="M82" s="573"/>
      <c r="N82" s="514" t="str">
        <f>IFERROR(VLOOKUP(K82,【参考】数式用!$A$2:$F$57,MATCH(M82,【参考】数式用!$C$3:$F$3,0)+2,0),"")</f>
        <v/>
      </c>
      <c r="O82" s="503"/>
      <c r="P82" s="546" t="str">
        <f>IFERROR(VLOOKUP(K82,【参考】数式用!$A$2:$F$57,MATCH(O82,【参考】数式用!$C$3:$F$3,0)+2,0),"")</f>
        <v/>
      </c>
      <c r="Q82" s="310" t="s">
        <v>118</v>
      </c>
      <c r="R82" s="308"/>
      <c r="S82" s="309" t="s">
        <v>183</v>
      </c>
      <c r="T82" s="308"/>
      <c r="U82" s="309" t="s">
        <v>184</v>
      </c>
      <c r="V82" s="308"/>
      <c r="W82" s="309" t="s">
        <v>183</v>
      </c>
      <c r="X82" s="308"/>
      <c r="Y82" s="309" t="s">
        <v>185</v>
      </c>
      <c r="Z82" s="309" t="s">
        <v>186</v>
      </c>
      <c r="AA82" s="309" t="str">
        <f t="shared" si="21"/>
        <v/>
      </c>
      <c r="AB82" s="305" t="s">
        <v>187</v>
      </c>
      <c r="AC82" s="306" t="str">
        <f t="shared" si="43"/>
        <v/>
      </c>
      <c r="AD82" s="507"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48" t="str">
        <f>IFERROR(VLOOKUP(K82,【参考】数式用!$A$2:$N$57,14,FALSE),"")</f>
        <v/>
      </c>
      <c r="AP82" s="548" t="str">
        <f t="shared" si="34"/>
        <v/>
      </c>
      <c r="AQ82" s="552" t="str">
        <f t="shared" si="35"/>
        <v/>
      </c>
      <c r="AR82" s="531" t="str">
        <f t="shared" si="36"/>
        <v>入力済</v>
      </c>
      <c r="AS82" s="548" t="str">
        <f t="shared" si="45"/>
        <v/>
      </c>
      <c r="AT82" s="531" t="str">
        <f t="shared" si="37"/>
        <v>入力済</v>
      </c>
      <c r="AU82" s="531" t="str">
        <f t="shared" si="46"/>
        <v/>
      </c>
      <c r="AV82" s="531" t="str">
        <f t="shared" si="38"/>
        <v/>
      </c>
      <c r="AW82" s="548" t="str">
        <f t="shared" si="39"/>
        <v/>
      </c>
      <c r="AX82" s="548" t="str">
        <f t="shared" si="47"/>
        <v/>
      </c>
      <c r="AY82" s="531" t="str">
        <f>IFERROR(VLOOKUP(K82,【参考】数式用!$AR$5:$AS$39,2, FALSE), "")</f>
        <v/>
      </c>
      <c r="AZ82" s="548" t="str">
        <f t="shared" si="48"/>
        <v/>
      </c>
      <c r="BA82" s="551" t="str">
        <f t="shared" si="40"/>
        <v>入力済</v>
      </c>
      <c r="BB82" s="531" t="str">
        <f>IFERROR(VLOOKUP(K82,【参考】数式用!$AX$3:$AY$59, 2, FALSE), "")</f>
        <v/>
      </c>
      <c r="BC82" s="548" t="str">
        <f t="shared" si="49"/>
        <v/>
      </c>
      <c r="BD82" s="551" t="str">
        <f t="shared" si="41"/>
        <v>入力済</v>
      </c>
      <c r="BE82" s="565" t="str">
        <f t="shared" si="50"/>
        <v/>
      </c>
      <c r="BF82" s="551" t="str">
        <f t="shared" si="42"/>
        <v/>
      </c>
      <c r="BG82" s="577"/>
      <c r="BH82" s="531" t="str">
        <f t="shared" si="51"/>
        <v/>
      </c>
      <c r="BI82" s="596" t="str">
        <f>IF(BH82="Ⅱロ有り",ROUNDDOWN(L82*VLOOKUP(K82,【参考】数式用!$A$4:$J$42,10,FALSE)*AA82,0),"")</f>
        <v/>
      </c>
      <c r="BJ82" s="596" t="str">
        <f>IF(BH82="Ⅱロなし",ROUNDDOWN(L82*VLOOKUP(K82,【参考】数式用!$A$4:$J$42,8,FALSE)*AA82,0),"")</f>
        <v/>
      </c>
    </row>
    <row r="83" spans="1:62" ht="109.9" customHeight="1" thickBot="1">
      <c r="A83" s="303">
        <v>70</v>
      </c>
      <c r="B83" s="933" t="str">
        <f>IF(基本情報入力シート!B105="","",基本情報入力シート!B105)</f>
        <v/>
      </c>
      <c r="C83" s="934"/>
      <c r="D83" s="934"/>
      <c r="E83" s="934"/>
      <c r="F83" s="935"/>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49" t="str">
        <f>IF(基本情報入力シート!AF105=0, "",基本情報入力シート!AF105)</f>
        <v/>
      </c>
      <c r="M83" s="573"/>
      <c r="N83" s="514" t="str">
        <f>IFERROR(VLOOKUP(K83,【参考】数式用!$A$2:$F$57,MATCH(M83,【参考】数式用!$C$3:$F$3,0)+2,0),"")</f>
        <v/>
      </c>
      <c r="O83" s="503"/>
      <c r="P83" s="546" t="str">
        <f>IFERROR(VLOOKUP(K83,【参考】数式用!$A$2:$F$57,MATCH(O83,【参考】数式用!$C$3:$F$3,0)+2,0),"")</f>
        <v/>
      </c>
      <c r="Q83" s="310" t="s">
        <v>118</v>
      </c>
      <c r="R83" s="308"/>
      <c r="S83" s="309" t="s">
        <v>183</v>
      </c>
      <c r="T83" s="308"/>
      <c r="U83" s="309" t="s">
        <v>184</v>
      </c>
      <c r="V83" s="308"/>
      <c r="W83" s="309" t="s">
        <v>183</v>
      </c>
      <c r="X83" s="308"/>
      <c r="Y83" s="309" t="s">
        <v>185</v>
      </c>
      <c r="Z83" s="309" t="s">
        <v>186</v>
      </c>
      <c r="AA83" s="309" t="str">
        <f t="shared" si="21"/>
        <v/>
      </c>
      <c r="AB83" s="305" t="s">
        <v>187</v>
      </c>
      <c r="AC83" s="306" t="str">
        <f t="shared" si="43"/>
        <v/>
      </c>
      <c r="AD83" s="507"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48" t="str">
        <f>IFERROR(VLOOKUP(K83,【参考】数式用!$A$2:$N$57,14,FALSE),"")</f>
        <v/>
      </c>
      <c r="AP83" s="548" t="str">
        <f t="shared" si="34"/>
        <v/>
      </c>
      <c r="AQ83" s="552" t="str">
        <f t="shared" si="35"/>
        <v/>
      </c>
      <c r="AR83" s="531" t="str">
        <f t="shared" si="36"/>
        <v>入力済</v>
      </c>
      <c r="AS83" s="548" t="str">
        <f t="shared" si="45"/>
        <v/>
      </c>
      <c r="AT83" s="531" t="str">
        <f t="shared" si="37"/>
        <v>入力済</v>
      </c>
      <c r="AU83" s="531" t="str">
        <f t="shared" si="46"/>
        <v/>
      </c>
      <c r="AV83" s="531" t="str">
        <f t="shared" si="38"/>
        <v/>
      </c>
      <c r="AW83" s="548" t="str">
        <f t="shared" si="39"/>
        <v/>
      </c>
      <c r="AX83" s="548" t="str">
        <f t="shared" si="47"/>
        <v/>
      </c>
      <c r="AY83" s="531" t="str">
        <f>IFERROR(VLOOKUP(K83,【参考】数式用!$AR$5:$AS$39,2, FALSE), "")</f>
        <v/>
      </c>
      <c r="AZ83" s="548" t="str">
        <f t="shared" si="48"/>
        <v/>
      </c>
      <c r="BA83" s="551" t="str">
        <f t="shared" si="40"/>
        <v>入力済</v>
      </c>
      <c r="BB83" s="531" t="str">
        <f>IFERROR(VLOOKUP(K83,【参考】数式用!$AX$3:$AY$59, 2, FALSE), "")</f>
        <v/>
      </c>
      <c r="BC83" s="548" t="str">
        <f t="shared" si="49"/>
        <v/>
      </c>
      <c r="BD83" s="551" t="str">
        <f t="shared" si="41"/>
        <v>入力済</v>
      </c>
      <c r="BE83" s="565" t="str">
        <f t="shared" si="50"/>
        <v/>
      </c>
      <c r="BF83" s="551" t="str">
        <f t="shared" si="42"/>
        <v/>
      </c>
      <c r="BG83" s="577"/>
      <c r="BH83" s="531" t="str">
        <f t="shared" si="51"/>
        <v/>
      </c>
      <c r="BI83" s="596" t="str">
        <f>IF(BH83="Ⅱロ有り",ROUNDDOWN(L83*VLOOKUP(K83,【参考】数式用!$A$4:$J$42,10,FALSE)*AA83,0),"")</f>
        <v/>
      </c>
      <c r="BJ83" s="596" t="str">
        <f>IF(BH83="Ⅱロなし",ROUNDDOWN(L83*VLOOKUP(K83,【参考】数式用!$A$4:$J$42,8,FALSE)*AA83,0),"")</f>
        <v/>
      </c>
    </row>
    <row r="84" spans="1:62" ht="109.9" customHeight="1" thickBot="1">
      <c r="A84" s="303">
        <v>71</v>
      </c>
      <c r="B84" s="933" t="str">
        <f>IF(基本情報入力シート!B106="","",基本情報入力シート!B106)</f>
        <v/>
      </c>
      <c r="C84" s="934"/>
      <c r="D84" s="934"/>
      <c r="E84" s="934"/>
      <c r="F84" s="935"/>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49" t="str">
        <f>IF(基本情報入力シート!AF106=0, "",基本情報入力シート!AF106)</f>
        <v/>
      </c>
      <c r="M84" s="573"/>
      <c r="N84" s="514" t="str">
        <f>IFERROR(VLOOKUP(K84,【参考】数式用!$A$2:$F$57,MATCH(M84,【参考】数式用!$C$3:$F$3,0)+2,0),"")</f>
        <v/>
      </c>
      <c r="O84" s="503"/>
      <c r="P84" s="546" t="str">
        <f>IFERROR(VLOOKUP(K84,【参考】数式用!$A$2:$F$57,MATCH(O84,【参考】数式用!$C$3:$F$3,0)+2,0),"")</f>
        <v/>
      </c>
      <c r="Q84" s="310" t="s">
        <v>118</v>
      </c>
      <c r="R84" s="308"/>
      <c r="S84" s="309" t="s">
        <v>183</v>
      </c>
      <c r="T84" s="308"/>
      <c r="U84" s="309" t="s">
        <v>184</v>
      </c>
      <c r="V84" s="308"/>
      <c r="W84" s="309" t="s">
        <v>183</v>
      </c>
      <c r="X84" s="308"/>
      <c r="Y84" s="309" t="s">
        <v>185</v>
      </c>
      <c r="Z84" s="309" t="s">
        <v>186</v>
      </c>
      <c r="AA84" s="309" t="str">
        <f t="shared" ref="AA84:AA113" si="53">IF(R84&gt;=1,(V84*12+X84)-(R84*12+T84)+1,"")</f>
        <v/>
      </c>
      <c r="AB84" s="305" t="s">
        <v>187</v>
      </c>
      <c r="AC84" s="306" t="str">
        <f t="shared" si="43"/>
        <v/>
      </c>
      <c r="AD84" s="507"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48" t="str">
        <f>IFERROR(VLOOKUP(K84,【参考】数式用!$A$2:$N$57,14,FALSE),"")</f>
        <v/>
      </c>
      <c r="AP84" s="548" t="str">
        <f t="shared" si="34"/>
        <v/>
      </c>
      <c r="AQ84" s="552" t="str">
        <f t="shared" si="35"/>
        <v/>
      </c>
      <c r="AR84" s="531" t="str">
        <f t="shared" si="36"/>
        <v>入力済</v>
      </c>
      <c r="AS84" s="548" t="str">
        <f t="shared" si="45"/>
        <v/>
      </c>
      <c r="AT84" s="531" t="str">
        <f t="shared" si="37"/>
        <v>入力済</v>
      </c>
      <c r="AU84" s="531" t="str">
        <f t="shared" si="46"/>
        <v/>
      </c>
      <c r="AV84" s="531" t="str">
        <f t="shared" si="38"/>
        <v/>
      </c>
      <c r="AW84" s="548" t="str">
        <f t="shared" si="39"/>
        <v/>
      </c>
      <c r="AX84" s="548" t="str">
        <f t="shared" si="47"/>
        <v/>
      </c>
      <c r="AY84" s="531" t="str">
        <f>IFERROR(VLOOKUP(K84,【参考】数式用!$AR$5:$AS$39,2, FALSE), "")</f>
        <v/>
      </c>
      <c r="AZ84" s="548" t="str">
        <f t="shared" si="48"/>
        <v/>
      </c>
      <c r="BA84" s="551" t="str">
        <f t="shared" si="40"/>
        <v>入力済</v>
      </c>
      <c r="BB84" s="531" t="str">
        <f>IFERROR(VLOOKUP(K84,【参考】数式用!$AX$3:$AY$59, 2, FALSE), "")</f>
        <v/>
      </c>
      <c r="BC84" s="548" t="str">
        <f t="shared" si="49"/>
        <v/>
      </c>
      <c r="BD84" s="551" t="str">
        <f t="shared" si="41"/>
        <v>入力済</v>
      </c>
      <c r="BE84" s="565" t="str">
        <f t="shared" si="50"/>
        <v/>
      </c>
      <c r="BF84" s="551" t="str">
        <f t="shared" si="42"/>
        <v/>
      </c>
      <c r="BG84" s="577"/>
      <c r="BH84" s="531" t="str">
        <f t="shared" si="51"/>
        <v/>
      </c>
      <c r="BI84" s="596" t="str">
        <f>IF(BH84="Ⅱロ有り",ROUNDDOWN(L84*VLOOKUP(K84,【参考】数式用!$A$4:$J$42,10,FALSE)*AA84,0),"")</f>
        <v/>
      </c>
      <c r="BJ84" s="596" t="str">
        <f>IF(BH84="Ⅱロなし",ROUNDDOWN(L84*VLOOKUP(K84,【参考】数式用!$A$4:$J$42,8,FALSE)*AA84,0),"")</f>
        <v/>
      </c>
    </row>
    <row r="85" spans="1:62" ht="109.9" customHeight="1" thickBot="1">
      <c r="A85" s="303">
        <v>72</v>
      </c>
      <c r="B85" s="933" t="str">
        <f>IF(基本情報入力シート!B107="","",基本情報入力シート!B107)</f>
        <v/>
      </c>
      <c r="C85" s="934"/>
      <c r="D85" s="934"/>
      <c r="E85" s="934"/>
      <c r="F85" s="935"/>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49" t="str">
        <f>IF(基本情報入力シート!AF107=0, "",基本情報入力シート!AF107)</f>
        <v/>
      </c>
      <c r="M85" s="573"/>
      <c r="N85" s="514" t="str">
        <f>IFERROR(VLOOKUP(K85,【参考】数式用!$A$2:$F$57,MATCH(M85,【参考】数式用!$C$3:$F$3,0)+2,0),"")</f>
        <v/>
      </c>
      <c r="O85" s="503"/>
      <c r="P85" s="546" t="str">
        <f>IFERROR(VLOOKUP(K85,【参考】数式用!$A$2:$F$57,MATCH(O85,【参考】数式用!$C$3:$F$3,0)+2,0),"")</f>
        <v/>
      </c>
      <c r="Q85" s="310" t="s">
        <v>118</v>
      </c>
      <c r="R85" s="308"/>
      <c r="S85" s="309" t="s">
        <v>183</v>
      </c>
      <c r="T85" s="308"/>
      <c r="U85" s="309" t="s">
        <v>184</v>
      </c>
      <c r="V85" s="308"/>
      <c r="W85" s="309" t="s">
        <v>183</v>
      </c>
      <c r="X85" s="308"/>
      <c r="Y85" s="309" t="s">
        <v>185</v>
      </c>
      <c r="Z85" s="309" t="s">
        <v>186</v>
      </c>
      <c r="AA85" s="309" t="str">
        <f t="shared" si="53"/>
        <v/>
      </c>
      <c r="AB85" s="305" t="s">
        <v>187</v>
      </c>
      <c r="AC85" s="306" t="str">
        <f t="shared" si="43"/>
        <v/>
      </c>
      <c r="AD85" s="507"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48" t="str">
        <f>IFERROR(VLOOKUP(K85,【参考】数式用!$A$2:$N$57,14,FALSE),"")</f>
        <v/>
      </c>
      <c r="AP85" s="548" t="str">
        <f t="shared" si="34"/>
        <v/>
      </c>
      <c r="AQ85" s="552" t="str">
        <f t="shared" si="35"/>
        <v/>
      </c>
      <c r="AR85" s="531" t="str">
        <f t="shared" si="36"/>
        <v>入力済</v>
      </c>
      <c r="AS85" s="548" t="str">
        <f t="shared" si="45"/>
        <v/>
      </c>
      <c r="AT85" s="531" t="str">
        <f t="shared" si="37"/>
        <v>入力済</v>
      </c>
      <c r="AU85" s="531" t="str">
        <f t="shared" si="46"/>
        <v/>
      </c>
      <c r="AV85" s="531" t="str">
        <f t="shared" si="38"/>
        <v/>
      </c>
      <c r="AW85" s="548" t="str">
        <f t="shared" si="39"/>
        <v/>
      </c>
      <c r="AX85" s="548" t="str">
        <f t="shared" si="47"/>
        <v/>
      </c>
      <c r="AY85" s="531" t="str">
        <f>IFERROR(VLOOKUP(K85,【参考】数式用!$AR$5:$AS$39,2, FALSE), "")</f>
        <v/>
      </c>
      <c r="AZ85" s="548" t="str">
        <f t="shared" si="48"/>
        <v/>
      </c>
      <c r="BA85" s="551" t="str">
        <f t="shared" si="40"/>
        <v>入力済</v>
      </c>
      <c r="BB85" s="531" t="str">
        <f>IFERROR(VLOOKUP(K85,【参考】数式用!$AX$3:$AY$59, 2, FALSE), "")</f>
        <v/>
      </c>
      <c r="BC85" s="548" t="str">
        <f t="shared" si="49"/>
        <v/>
      </c>
      <c r="BD85" s="551" t="str">
        <f t="shared" si="41"/>
        <v>入力済</v>
      </c>
      <c r="BE85" s="565" t="str">
        <f t="shared" si="50"/>
        <v/>
      </c>
      <c r="BF85" s="551" t="str">
        <f t="shared" si="42"/>
        <v/>
      </c>
      <c r="BG85" s="577"/>
      <c r="BH85" s="531" t="str">
        <f t="shared" si="51"/>
        <v/>
      </c>
      <c r="BI85" s="596" t="str">
        <f>IF(BH85="Ⅱロ有り",ROUNDDOWN(L85*VLOOKUP(K85,【参考】数式用!$A$4:$J$42,10,FALSE)*AA85,0),"")</f>
        <v/>
      </c>
      <c r="BJ85" s="596" t="str">
        <f>IF(BH85="Ⅱロなし",ROUNDDOWN(L85*VLOOKUP(K85,【参考】数式用!$A$4:$J$42,8,FALSE)*AA85,0),"")</f>
        <v/>
      </c>
    </row>
    <row r="86" spans="1:62" ht="109.9" customHeight="1" thickBot="1">
      <c r="A86" s="303">
        <v>73</v>
      </c>
      <c r="B86" s="933" t="str">
        <f>IF(基本情報入力シート!B108="","",基本情報入力シート!B108)</f>
        <v/>
      </c>
      <c r="C86" s="934"/>
      <c r="D86" s="934"/>
      <c r="E86" s="934"/>
      <c r="F86" s="935"/>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49" t="str">
        <f>IF(基本情報入力シート!AF108=0, "",基本情報入力シート!AF108)</f>
        <v/>
      </c>
      <c r="M86" s="573"/>
      <c r="N86" s="514" t="str">
        <f>IFERROR(VLOOKUP(K86,【参考】数式用!$A$2:$F$57,MATCH(M86,【参考】数式用!$C$3:$F$3,0)+2,0),"")</f>
        <v/>
      </c>
      <c r="O86" s="503"/>
      <c r="P86" s="546" t="str">
        <f>IFERROR(VLOOKUP(K86,【参考】数式用!$A$2:$F$57,MATCH(O86,【参考】数式用!$C$3:$F$3,0)+2,0),"")</f>
        <v/>
      </c>
      <c r="Q86" s="310" t="s">
        <v>118</v>
      </c>
      <c r="R86" s="308"/>
      <c r="S86" s="309" t="s">
        <v>183</v>
      </c>
      <c r="T86" s="308"/>
      <c r="U86" s="309" t="s">
        <v>184</v>
      </c>
      <c r="V86" s="308"/>
      <c r="W86" s="309" t="s">
        <v>183</v>
      </c>
      <c r="X86" s="308"/>
      <c r="Y86" s="309" t="s">
        <v>185</v>
      </c>
      <c r="Z86" s="309" t="s">
        <v>186</v>
      </c>
      <c r="AA86" s="309" t="str">
        <f t="shared" si="53"/>
        <v/>
      </c>
      <c r="AB86" s="305" t="s">
        <v>187</v>
      </c>
      <c r="AC86" s="306" t="str">
        <f t="shared" si="43"/>
        <v/>
      </c>
      <c r="AD86" s="507"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48" t="str">
        <f>IFERROR(VLOOKUP(K86,【参考】数式用!$A$2:$N$57,14,FALSE),"")</f>
        <v/>
      </c>
      <c r="AP86" s="548" t="str">
        <f t="shared" si="34"/>
        <v/>
      </c>
      <c r="AQ86" s="552" t="str">
        <f t="shared" si="35"/>
        <v/>
      </c>
      <c r="AR86" s="531" t="str">
        <f t="shared" si="36"/>
        <v>入力済</v>
      </c>
      <c r="AS86" s="548" t="str">
        <f t="shared" si="45"/>
        <v/>
      </c>
      <c r="AT86" s="531" t="str">
        <f t="shared" si="37"/>
        <v>入力済</v>
      </c>
      <c r="AU86" s="531" t="str">
        <f t="shared" si="46"/>
        <v/>
      </c>
      <c r="AV86" s="531" t="str">
        <f t="shared" si="38"/>
        <v/>
      </c>
      <c r="AW86" s="548" t="str">
        <f t="shared" si="39"/>
        <v/>
      </c>
      <c r="AX86" s="548" t="str">
        <f t="shared" si="47"/>
        <v/>
      </c>
      <c r="AY86" s="531" t="str">
        <f>IFERROR(VLOOKUP(K86,【参考】数式用!$AR$5:$AS$39,2, FALSE), "")</f>
        <v/>
      </c>
      <c r="AZ86" s="548" t="str">
        <f t="shared" si="48"/>
        <v/>
      </c>
      <c r="BA86" s="551" t="str">
        <f t="shared" si="40"/>
        <v>入力済</v>
      </c>
      <c r="BB86" s="531" t="str">
        <f>IFERROR(VLOOKUP(K86,【参考】数式用!$AX$3:$AY$59, 2, FALSE), "")</f>
        <v/>
      </c>
      <c r="BC86" s="548" t="str">
        <f t="shared" si="49"/>
        <v/>
      </c>
      <c r="BD86" s="551" t="str">
        <f t="shared" si="41"/>
        <v>入力済</v>
      </c>
      <c r="BE86" s="565" t="str">
        <f t="shared" si="50"/>
        <v/>
      </c>
      <c r="BF86" s="551" t="str">
        <f t="shared" si="42"/>
        <v/>
      </c>
      <c r="BG86" s="577"/>
      <c r="BH86" s="531" t="str">
        <f t="shared" si="51"/>
        <v/>
      </c>
      <c r="BI86" s="596" t="str">
        <f>IF(BH86="Ⅱロ有り",ROUNDDOWN(L86*VLOOKUP(K86,【参考】数式用!$A$4:$J$42,10,FALSE)*AA86,0),"")</f>
        <v/>
      </c>
      <c r="BJ86" s="596" t="str">
        <f>IF(BH86="Ⅱロなし",ROUNDDOWN(L86*VLOOKUP(K86,【参考】数式用!$A$4:$J$42,8,FALSE)*AA86,0),"")</f>
        <v/>
      </c>
    </row>
    <row r="87" spans="1:62" ht="109.9" customHeight="1" thickBot="1">
      <c r="A87" s="303">
        <v>74</v>
      </c>
      <c r="B87" s="933" t="str">
        <f>IF(基本情報入力シート!B109="","",基本情報入力シート!B109)</f>
        <v/>
      </c>
      <c r="C87" s="934"/>
      <c r="D87" s="934"/>
      <c r="E87" s="934"/>
      <c r="F87" s="935"/>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49" t="str">
        <f>IF(基本情報入力シート!AF109=0, "",基本情報入力シート!AF109)</f>
        <v/>
      </c>
      <c r="M87" s="573"/>
      <c r="N87" s="514" t="str">
        <f>IFERROR(VLOOKUP(K87,【参考】数式用!$A$2:$F$57,MATCH(M87,【参考】数式用!$C$3:$F$3,0)+2,0),"")</f>
        <v/>
      </c>
      <c r="O87" s="503"/>
      <c r="P87" s="546" t="str">
        <f>IFERROR(VLOOKUP(K87,【参考】数式用!$A$2:$F$57,MATCH(O87,【参考】数式用!$C$3:$F$3,0)+2,0),"")</f>
        <v/>
      </c>
      <c r="Q87" s="310" t="s">
        <v>118</v>
      </c>
      <c r="R87" s="308"/>
      <c r="S87" s="309" t="s">
        <v>183</v>
      </c>
      <c r="T87" s="308"/>
      <c r="U87" s="309" t="s">
        <v>184</v>
      </c>
      <c r="V87" s="308"/>
      <c r="W87" s="309" t="s">
        <v>183</v>
      </c>
      <c r="X87" s="308"/>
      <c r="Y87" s="309" t="s">
        <v>185</v>
      </c>
      <c r="Z87" s="309" t="s">
        <v>186</v>
      </c>
      <c r="AA87" s="309" t="str">
        <f t="shared" si="53"/>
        <v/>
      </c>
      <c r="AB87" s="305" t="s">
        <v>187</v>
      </c>
      <c r="AC87" s="306" t="str">
        <f t="shared" si="43"/>
        <v/>
      </c>
      <c r="AD87" s="507"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48" t="str">
        <f>IFERROR(VLOOKUP(K87,【参考】数式用!$A$2:$N$57,14,FALSE),"")</f>
        <v/>
      </c>
      <c r="AP87" s="548" t="str">
        <f t="shared" si="34"/>
        <v/>
      </c>
      <c r="AQ87" s="552" t="str">
        <f t="shared" si="35"/>
        <v/>
      </c>
      <c r="AR87" s="531" t="str">
        <f t="shared" si="36"/>
        <v>入力済</v>
      </c>
      <c r="AS87" s="548" t="str">
        <f t="shared" si="45"/>
        <v/>
      </c>
      <c r="AT87" s="531" t="str">
        <f t="shared" si="37"/>
        <v>入力済</v>
      </c>
      <c r="AU87" s="531" t="str">
        <f t="shared" si="46"/>
        <v/>
      </c>
      <c r="AV87" s="531" t="str">
        <f t="shared" si="38"/>
        <v/>
      </c>
      <c r="AW87" s="548" t="str">
        <f t="shared" si="39"/>
        <v/>
      </c>
      <c r="AX87" s="548" t="str">
        <f t="shared" si="47"/>
        <v/>
      </c>
      <c r="AY87" s="531" t="str">
        <f>IFERROR(VLOOKUP(K87,【参考】数式用!$AR$5:$AS$39,2, FALSE), "")</f>
        <v/>
      </c>
      <c r="AZ87" s="548" t="str">
        <f t="shared" si="48"/>
        <v/>
      </c>
      <c r="BA87" s="551" t="str">
        <f t="shared" si="40"/>
        <v>入力済</v>
      </c>
      <c r="BB87" s="531" t="str">
        <f>IFERROR(VLOOKUP(K87,【参考】数式用!$AX$3:$AY$59, 2, FALSE), "")</f>
        <v/>
      </c>
      <c r="BC87" s="548" t="str">
        <f t="shared" si="49"/>
        <v/>
      </c>
      <c r="BD87" s="551" t="str">
        <f t="shared" si="41"/>
        <v>入力済</v>
      </c>
      <c r="BE87" s="565" t="str">
        <f t="shared" si="50"/>
        <v/>
      </c>
      <c r="BF87" s="551" t="str">
        <f t="shared" si="42"/>
        <v/>
      </c>
      <c r="BG87" s="577"/>
      <c r="BH87" s="531" t="str">
        <f t="shared" si="51"/>
        <v/>
      </c>
      <c r="BI87" s="596" t="str">
        <f>IF(BH87="Ⅱロ有り",ROUNDDOWN(L87*VLOOKUP(K87,【参考】数式用!$A$4:$J$42,10,FALSE)*AA87,0),"")</f>
        <v/>
      </c>
      <c r="BJ87" s="596" t="str">
        <f>IF(BH87="Ⅱロなし",ROUNDDOWN(L87*VLOOKUP(K87,【参考】数式用!$A$4:$J$42,8,FALSE)*AA87,0),"")</f>
        <v/>
      </c>
    </row>
    <row r="88" spans="1:62" ht="109.9" customHeight="1" thickBot="1">
      <c r="A88" s="303">
        <v>75</v>
      </c>
      <c r="B88" s="933" t="str">
        <f>IF(基本情報入力シート!B110="","",基本情報入力シート!B110)</f>
        <v/>
      </c>
      <c r="C88" s="934"/>
      <c r="D88" s="934"/>
      <c r="E88" s="934"/>
      <c r="F88" s="935"/>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49" t="str">
        <f>IF(基本情報入力シート!AF110=0, "",基本情報入力シート!AF110)</f>
        <v/>
      </c>
      <c r="M88" s="573"/>
      <c r="N88" s="514" t="str">
        <f>IFERROR(VLOOKUP(K88,【参考】数式用!$A$2:$F$57,MATCH(M88,【参考】数式用!$C$3:$F$3,0)+2,0),"")</f>
        <v/>
      </c>
      <c r="O88" s="503"/>
      <c r="P88" s="546" t="str">
        <f>IFERROR(VLOOKUP(K88,【参考】数式用!$A$2:$F$57,MATCH(O88,【参考】数式用!$C$3:$F$3,0)+2,0),"")</f>
        <v/>
      </c>
      <c r="Q88" s="310" t="s">
        <v>118</v>
      </c>
      <c r="R88" s="308"/>
      <c r="S88" s="309" t="s">
        <v>183</v>
      </c>
      <c r="T88" s="308"/>
      <c r="U88" s="309" t="s">
        <v>184</v>
      </c>
      <c r="V88" s="308"/>
      <c r="W88" s="309" t="s">
        <v>183</v>
      </c>
      <c r="X88" s="308"/>
      <c r="Y88" s="309" t="s">
        <v>185</v>
      </c>
      <c r="Z88" s="309" t="s">
        <v>186</v>
      </c>
      <c r="AA88" s="309" t="str">
        <f t="shared" si="53"/>
        <v/>
      </c>
      <c r="AB88" s="305" t="s">
        <v>187</v>
      </c>
      <c r="AC88" s="306" t="str">
        <f t="shared" si="43"/>
        <v/>
      </c>
      <c r="AD88" s="507"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48" t="str">
        <f>IFERROR(VLOOKUP(K88,【参考】数式用!$A$2:$N$57,14,FALSE),"")</f>
        <v/>
      </c>
      <c r="AP88" s="548" t="str">
        <f t="shared" si="34"/>
        <v/>
      </c>
      <c r="AQ88" s="552" t="str">
        <f t="shared" si="35"/>
        <v/>
      </c>
      <c r="AR88" s="531" t="str">
        <f t="shared" si="36"/>
        <v>入力済</v>
      </c>
      <c r="AS88" s="548" t="str">
        <f t="shared" si="45"/>
        <v/>
      </c>
      <c r="AT88" s="531" t="str">
        <f t="shared" si="37"/>
        <v>入力済</v>
      </c>
      <c r="AU88" s="531" t="str">
        <f t="shared" si="46"/>
        <v/>
      </c>
      <c r="AV88" s="531" t="str">
        <f t="shared" si="38"/>
        <v/>
      </c>
      <c r="AW88" s="548" t="str">
        <f t="shared" si="39"/>
        <v/>
      </c>
      <c r="AX88" s="548" t="str">
        <f t="shared" si="47"/>
        <v/>
      </c>
      <c r="AY88" s="531" t="str">
        <f>IFERROR(VLOOKUP(K88,【参考】数式用!$AR$5:$AS$39,2, FALSE), "")</f>
        <v/>
      </c>
      <c r="AZ88" s="548" t="str">
        <f t="shared" si="48"/>
        <v/>
      </c>
      <c r="BA88" s="551" t="str">
        <f t="shared" si="40"/>
        <v>入力済</v>
      </c>
      <c r="BB88" s="531" t="str">
        <f>IFERROR(VLOOKUP(K88,【参考】数式用!$AX$3:$AY$59, 2, FALSE), "")</f>
        <v/>
      </c>
      <c r="BC88" s="548" t="str">
        <f t="shared" si="49"/>
        <v/>
      </c>
      <c r="BD88" s="551" t="str">
        <f t="shared" si="41"/>
        <v>入力済</v>
      </c>
      <c r="BE88" s="565" t="str">
        <f t="shared" si="50"/>
        <v/>
      </c>
      <c r="BF88" s="551" t="str">
        <f t="shared" si="42"/>
        <v/>
      </c>
      <c r="BG88" s="577"/>
      <c r="BH88" s="531" t="str">
        <f t="shared" si="51"/>
        <v/>
      </c>
      <c r="BI88" s="596" t="str">
        <f>IF(BH88="Ⅱロ有り",ROUNDDOWN(L88*VLOOKUP(K88,【参考】数式用!$A$4:$J$42,10,FALSE)*AA88,0),"")</f>
        <v/>
      </c>
      <c r="BJ88" s="596" t="str">
        <f>IF(BH88="Ⅱロなし",ROUNDDOWN(L88*VLOOKUP(K88,【参考】数式用!$A$4:$J$42,8,FALSE)*AA88,0),"")</f>
        <v/>
      </c>
    </row>
    <row r="89" spans="1:62" ht="109.9" customHeight="1" thickBot="1">
      <c r="A89" s="303">
        <v>76</v>
      </c>
      <c r="B89" s="933" t="str">
        <f>IF(基本情報入力シート!B111="","",基本情報入力シート!B111)</f>
        <v/>
      </c>
      <c r="C89" s="934"/>
      <c r="D89" s="934"/>
      <c r="E89" s="934"/>
      <c r="F89" s="935"/>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49" t="str">
        <f>IF(基本情報入力シート!AF111=0, "",基本情報入力シート!AF111)</f>
        <v/>
      </c>
      <c r="M89" s="573"/>
      <c r="N89" s="514" t="str">
        <f>IFERROR(VLOOKUP(K89,【参考】数式用!$A$2:$F$57,MATCH(M89,【参考】数式用!$C$3:$F$3,0)+2,0),"")</f>
        <v/>
      </c>
      <c r="O89" s="503"/>
      <c r="P89" s="546" t="str">
        <f>IFERROR(VLOOKUP(K89,【参考】数式用!$A$2:$F$57,MATCH(O89,【参考】数式用!$C$3:$F$3,0)+2,0),"")</f>
        <v/>
      </c>
      <c r="Q89" s="310" t="s">
        <v>118</v>
      </c>
      <c r="R89" s="308"/>
      <c r="S89" s="309" t="s">
        <v>183</v>
      </c>
      <c r="T89" s="308"/>
      <c r="U89" s="309" t="s">
        <v>184</v>
      </c>
      <c r="V89" s="308"/>
      <c r="W89" s="309" t="s">
        <v>183</v>
      </c>
      <c r="X89" s="308"/>
      <c r="Y89" s="309" t="s">
        <v>185</v>
      </c>
      <c r="Z89" s="309" t="s">
        <v>186</v>
      </c>
      <c r="AA89" s="309" t="str">
        <f t="shared" si="53"/>
        <v/>
      </c>
      <c r="AB89" s="305" t="s">
        <v>187</v>
      </c>
      <c r="AC89" s="306" t="str">
        <f t="shared" si="43"/>
        <v/>
      </c>
      <c r="AD89" s="507"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48" t="str">
        <f>IFERROR(VLOOKUP(K89,【参考】数式用!$A$2:$N$57,14,FALSE),"")</f>
        <v/>
      </c>
      <c r="AP89" s="548" t="str">
        <f t="shared" si="34"/>
        <v/>
      </c>
      <c r="AQ89" s="552" t="str">
        <f t="shared" si="35"/>
        <v/>
      </c>
      <c r="AR89" s="531" t="str">
        <f t="shared" si="36"/>
        <v>入力済</v>
      </c>
      <c r="AS89" s="548" t="str">
        <f t="shared" si="45"/>
        <v/>
      </c>
      <c r="AT89" s="531" t="str">
        <f t="shared" si="37"/>
        <v>入力済</v>
      </c>
      <c r="AU89" s="531" t="str">
        <f t="shared" si="46"/>
        <v/>
      </c>
      <c r="AV89" s="531" t="str">
        <f t="shared" si="38"/>
        <v/>
      </c>
      <c r="AW89" s="548" t="str">
        <f t="shared" si="39"/>
        <v/>
      </c>
      <c r="AX89" s="548" t="str">
        <f t="shared" si="47"/>
        <v/>
      </c>
      <c r="AY89" s="531" t="str">
        <f>IFERROR(VLOOKUP(K89,【参考】数式用!$AR$5:$AS$39,2, FALSE), "")</f>
        <v/>
      </c>
      <c r="AZ89" s="548" t="str">
        <f t="shared" si="48"/>
        <v/>
      </c>
      <c r="BA89" s="551" t="str">
        <f t="shared" si="40"/>
        <v>入力済</v>
      </c>
      <c r="BB89" s="531" t="str">
        <f>IFERROR(VLOOKUP(K89,【参考】数式用!$AX$3:$AY$59, 2, FALSE), "")</f>
        <v/>
      </c>
      <c r="BC89" s="548" t="str">
        <f t="shared" si="49"/>
        <v/>
      </c>
      <c r="BD89" s="551" t="str">
        <f t="shared" si="41"/>
        <v>入力済</v>
      </c>
      <c r="BE89" s="565" t="str">
        <f t="shared" si="50"/>
        <v/>
      </c>
      <c r="BF89" s="551" t="str">
        <f t="shared" si="42"/>
        <v/>
      </c>
      <c r="BG89" s="577"/>
      <c r="BH89" s="531" t="str">
        <f t="shared" si="51"/>
        <v/>
      </c>
      <c r="BI89" s="596" t="str">
        <f>IF(BH89="Ⅱロ有り",ROUNDDOWN(L89*VLOOKUP(K89,【参考】数式用!$A$4:$J$42,10,FALSE)*AA89,0),"")</f>
        <v/>
      </c>
      <c r="BJ89" s="596" t="str">
        <f>IF(BH89="Ⅱロなし",ROUNDDOWN(L89*VLOOKUP(K89,【参考】数式用!$A$4:$J$42,8,FALSE)*AA89,0),"")</f>
        <v/>
      </c>
    </row>
    <row r="90" spans="1:62" ht="109.9" customHeight="1" thickBot="1">
      <c r="A90" s="303">
        <v>77</v>
      </c>
      <c r="B90" s="933" t="str">
        <f>IF(基本情報入力シート!B112="","",基本情報入力シート!B112)</f>
        <v/>
      </c>
      <c r="C90" s="934"/>
      <c r="D90" s="934"/>
      <c r="E90" s="934"/>
      <c r="F90" s="935"/>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49" t="str">
        <f>IF(基本情報入力シート!AF112=0, "",基本情報入力シート!AF112)</f>
        <v/>
      </c>
      <c r="M90" s="573"/>
      <c r="N90" s="514" t="str">
        <f>IFERROR(VLOOKUP(K90,【参考】数式用!$A$2:$F$57,MATCH(M90,【参考】数式用!$C$3:$F$3,0)+2,0),"")</f>
        <v/>
      </c>
      <c r="O90" s="503"/>
      <c r="P90" s="546" t="str">
        <f>IFERROR(VLOOKUP(K90,【参考】数式用!$A$2:$F$57,MATCH(O90,【参考】数式用!$C$3:$F$3,0)+2,0),"")</f>
        <v/>
      </c>
      <c r="Q90" s="310" t="s">
        <v>118</v>
      </c>
      <c r="R90" s="308"/>
      <c r="S90" s="309" t="s">
        <v>183</v>
      </c>
      <c r="T90" s="308"/>
      <c r="U90" s="309" t="s">
        <v>184</v>
      </c>
      <c r="V90" s="308"/>
      <c r="W90" s="309" t="s">
        <v>183</v>
      </c>
      <c r="X90" s="308"/>
      <c r="Y90" s="309" t="s">
        <v>185</v>
      </c>
      <c r="Z90" s="309" t="s">
        <v>186</v>
      </c>
      <c r="AA90" s="309" t="str">
        <f t="shared" si="53"/>
        <v/>
      </c>
      <c r="AB90" s="305" t="s">
        <v>187</v>
      </c>
      <c r="AC90" s="306" t="str">
        <f t="shared" si="43"/>
        <v/>
      </c>
      <c r="AD90" s="507"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48" t="str">
        <f>IFERROR(VLOOKUP(K90,【参考】数式用!$A$2:$N$57,14,FALSE),"")</f>
        <v/>
      </c>
      <c r="AP90" s="548" t="str">
        <f t="shared" si="34"/>
        <v/>
      </c>
      <c r="AQ90" s="552" t="str">
        <f t="shared" si="35"/>
        <v/>
      </c>
      <c r="AR90" s="531" t="str">
        <f t="shared" si="36"/>
        <v>入力済</v>
      </c>
      <c r="AS90" s="548" t="str">
        <f t="shared" si="45"/>
        <v/>
      </c>
      <c r="AT90" s="531" t="str">
        <f t="shared" si="37"/>
        <v>入力済</v>
      </c>
      <c r="AU90" s="531" t="str">
        <f t="shared" si="46"/>
        <v/>
      </c>
      <c r="AV90" s="531" t="str">
        <f t="shared" si="38"/>
        <v/>
      </c>
      <c r="AW90" s="548" t="str">
        <f t="shared" si="39"/>
        <v/>
      </c>
      <c r="AX90" s="548" t="str">
        <f t="shared" si="47"/>
        <v/>
      </c>
      <c r="AY90" s="531" t="str">
        <f>IFERROR(VLOOKUP(K90,【参考】数式用!$AR$5:$AS$39,2, FALSE), "")</f>
        <v/>
      </c>
      <c r="AZ90" s="548" t="str">
        <f t="shared" si="48"/>
        <v/>
      </c>
      <c r="BA90" s="551" t="str">
        <f t="shared" si="40"/>
        <v>入力済</v>
      </c>
      <c r="BB90" s="531" t="str">
        <f>IFERROR(VLOOKUP(K90,【参考】数式用!$AX$3:$AY$59, 2, FALSE), "")</f>
        <v/>
      </c>
      <c r="BC90" s="548" t="str">
        <f t="shared" si="49"/>
        <v/>
      </c>
      <c r="BD90" s="551" t="str">
        <f t="shared" si="41"/>
        <v>入力済</v>
      </c>
      <c r="BE90" s="565" t="str">
        <f t="shared" si="50"/>
        <v/>
      </c>
      <c r="BF90" s="551" t="str">
        <f t="shared" si="42"/>
        <v/>
      </c>
      <c r="BG90" s="577"/>
      <c r="BH90" s="531" t="str">
        <f t="shared" si="51"/>
        <v/>
      </c>
      <c r="BI90" s="596" t="str">
        <f>IF(BH90="Ⅱロ有り",ROUNDDOWN(L90*VLOOKUP(K90,【参考】数式用!$A$4:$J$42,10,FALSE)*AA90,0),"")</f>
        <v/>
      </c>
      <c r="BJ90" s="596" t="str">
        <f>IF(BH90="Ⅱロなし",ROUNDDOWN(L90*VLOOKUP(K90,【参考】数式用!$A$4:$J$42,8,FALSE)*AA90,0),"")</f>
        <v/>
      </c>
    </row>
    <row r="91" spans="1:62" ht="109.9" customHeight="1" thickBot="1">
      <c r="A91" s="303">
        <v>78</v>
      </c>
      <c r="B91" s="933" t="str">
        <f>IF(基本情報入力シート!B113="","",基本情報入力シート!B113)</f>
        <v/>
      </c>
      <c r="C91" s="934"/>
      <c r="D91" s="934"/>
      <c r="E91" s="934"/>
      <c r="F91" s="935"/>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49" t="str">
        <f>IF(基本情報入力シート!AF113=0, "",基本情報入力シート!AF113)</f>
        <v/>
      </c>
      <c r="M91" s="573"/>
      <c r="N91" s="514" t="str">
        <f>IFERROR(VLOOKUP(K91,【参考】数式用!$A$2:$F$57,MATCH(M91,【参考】数式用!$C$3:$F$3,0)+2,0),"")</f>
        <v/>
      </c>
      <c r="O91" s="503"/>
      <c r="P91" s="546" t="str">
        <f>IFERROR(VLOOKUP(K91,【参考】数式用!$A$2:$F$57,MATCH(O91,【参考】数式用!$C$3:$F$3,0)+2,0),"")</f>
        <v/>
      </c>
      <c r="Q91" s="310" t="s">
        <v>118</v>
      </c>
      <c r="R91" s="308"/>
      <c r="S91" s="309" t="s">
        <v>183</v>
      </c>
      <c r="T91" s="308"/>
      <c r="U91" s="309" t="s">
        <v>184</v>
      </c>
      <c r="V91" s="308"/>
      <c r="W91" s="309" t="s">
        <v>183</v>
      </c>
      <c r="X91" s="308"/>
      <c r="Y91" s="309" t="s">
        <v>185</v>
      </c>
      <c r="Z91" s="309" t="s">
        <v>186</v>
      </c>
      <c r="AA91" s="309" t="str">
        <f t="shared" si="53"/>
        <v/>
      </c>
      <c r="AB91" s="305" t="s">
        <v>187</v>
      </c>
      <c r="AC91" s="306" t="str">
        <f t="shared" si="43"/>
        <v/>
      </c>
      <c r="AD91" s="507"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48" t="str">
        <f>IFERROR(VLOOKUP(K91,【参考】数式用!$A$2:$N$57,14,FALSE),"")</f>
        <v/>
      </c>
      <c r="AP91" s="548" t="str">
        <f t="shared" si="34"/>
        <v/>
      </c>
      <c r="AQ91" s="552" t="str">
        <f t="shared" si="35"/>
        <v/>
      </c>
      <c r="AR91" s="531" t="str">
        <f t="shared" si="36"/>
        <v>入力済</v>
      </c>
      <c r="AS91" s="548" t="str">
        <f t="shared" si="45"/>
        <v/>
      </c>
      <c r="AT91" s="531" t="str">
        <f t="shared" si="37"/>
        <v>入力済</v>
      </c>
      <c r="AU91" s="531" t="str">
        <f t="shared" si="46"/>
        <v/>
      </c>
      <c r="AV91" s="531" t="str">
        <f t="shared" si="38"/>
        <v/>
      </c>
      <c r="AW91" s="548" t="str">
        <f t="shared" si="39"/>
        <v/>
      </c>
      <c r="AX91" s="548" t="str">
        <f t="shared" si="47"/>
        <v/>
      </c>
      <c r="AY91" s="531" t="str">
        <f>IFERROR(VLOOKUP(K91,【参考】数式用!$AR$5:$AS$39,2, FALSE), "")</f>
        <v/>
      </c>
      <c r="AZ91" s="548" t="str">
        <f t="shared" si="48"/>
        <v/>
      </c>
      <c r="BA91" s="551" t="str">
        <f t="shared" si="40"/>
        <v>入力済</v>
      </c>
      <c r="BB91" s="531" t="str">
        <f>IFERROR(VLOOKUP(K91,【参考】数式用!$AX$3:$AY$59, 2, FALSE), "")</f>
        <v/>
      </c>
      <c r="BC91" s="548" t="str">
        <f t="shared" si="49"/>
        <v/>
      </c>
      <c r="BD91" s="551" t="str">
        <f t="shared" si="41"/>
        <v>入力済</v>
      </c>
      <c r="BE91" s="565" t="str">
        <f t="shared" si="50"/>
        <v/>
      </c>
      <c r="BF91" s="551" t="str">
        <f t="shared" si="42"/>
        <v/>
      </c>
      <c r="BG91" s="577"/>
      <c r="BH91" s="531" t="str">
        <f t="shared" si="51"/>
        <v/>
      </c>
      <c r="BI91" s="596" t="str">
        <f>IF(BH91="Ⅱロ有り",ROUNDDOWN(L91*VLOOKUP(K91,【参考】数式用!$A$4:$J$42,10,FALSE)*AA91,0),"")</f>
        <v/>
      </c>
      <c r="BJ91" s="596" t="str">
        <f>IF(BH91="Ⅱロなし",ROUNDDOWN(L91*VLOOKUP(K91,【参考】数式用!$A$4:$J$42,8,FALSE)*AA91,0),"")</f>
        <v/>
      </c>
    </row>
    <row r="92" spans="1:62" ht="109.9" customHeight="1" thickBot="1">
      <c r="A92" s="303">
        <v>79</v>
      </c>
      <c r="B92" s="933" t="str">
        <f>IF(基本情報入力シート!B114="","",基本情報入力シート!B114)</f>
        <v/>
      </c>
      <c r="C92" s="934"/>
      <c r="D92" s="934"/>
      <c r="E92" s="934"/>
      <c r="F92" s="935"/>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49" t="str">
        <f>IF(基本情報入力シート!AF114=0, "",基本情報入力シート!AF114)</f>
        <v/>
      </c>
      <c r="M92" s="573"/>
      <c r="N92" s="514" t="str">
        <f>IFERROR(VLOOKUP(K92,【参考】数式用!$A$2:$F$57,MATCH(M92,【参考】数式用!$C$3:$F$3,0)+2,0),"")</f>
        <v/>
      </c>
      <c r="O92" s="503"/>
      <c r="P92" s="546" t="str">
        <f>IFERROR(VLOOKUP(K92,【参考】数式用!$A$2:$F$57,MATCH(O92,【参考】数式用!$C$3:$F$3,0)+2,0),"")</f>
        <v/>
      </c>
      <c r="Q92" s="310" t="s">
        <v>118</v>
      </c>
      <c r="R92" s="308"/>
      <c r="S92" s="309" t="s">
        <v>183</v>
      </c>
      <c r="T92" s="308"/>
      <c r="U92" s="309" t="s">
        <v>184</v>
      </c>
      <c r="V92" s="308"/>
      <c r="W92" s="309" t="s">
        <v>183</v>
      </c>
      <c r="X92" s="308"/>
      <c r="Y92" s="309" t="s">
        <v>185</v>
      </c>
      <c r="Z92" s="309" t="s">
        <v>186</v>
      </c>
      <c r="AA92" s="309" t="str">
        <f t="shared" si="53"/>
        <v/>
      </c>
      <c r="AB92" s="305" t="s">
        <v>187</v>
      </c>
      <c r="AC92" s="306" t="str">
        <f t="shared" si="43"/>
        <v/>
      </c>
      <c r="AD92" s="507"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48" t="str">
        <f>IFERROR(VLOOKUP(K92,【参考】数式用!$A$2:$N$57,14,FALSE),"")</f>
        <v/>
      </c>
      <c r="AP92" s="548" t="str">
        <f t="shared" si="34"/>
        <v/>
      </c>
      <c r="AQ92" s="552" t="str">
        <f t="shared" si="35"/>
        <v/>
      </c>
      <c r="AR92" s="531" t="str">
        <f t="shared" si="36"/>
        <v>入力済</v>
      </c>
      <c r="AS92" s="548" t="str">
        <f t="shared" si="45"/>
        <v/>
      </c>
      <c r="AT92" s="531" t="str">
        <f t="shared" si="37"/>
        <v>入力済</v>
      </c>
      <c r="AU92" s="531" t="str">
        <f t="shared" si="46"/>
        <v/>
      </c>
      <c r="AV92" s="531" t="str">
        <f t="shared" si="38"/>
        <v/>
      </c>
      <c r="AW92" s="548" t="str">
        <f t="shared" si="39"/>
        <v/>
      </c>
      <c r="AX92" s="548" t="str">
        <f t="shared" si="47"/>
        <v/>
      </c>
      <c r="AY92" s="531" t="str">
        <f>IFERROR(VLOOKUP(K92,【参考】数式用!$AR$5:$AS$39,2, FALSE), "")</f>
        <v/>
      </c>
      <c r="AZ92" s="548" t="str">
        <f t="shared" si="48"/>
        <v/>
      </c>
      <c r="BA92" s="551" t="str">
        <f t="shared" si="40"/>
        <v>入力済</v>
      </c>
      <c r="BB92" s="531" t="str">
        <f>IFERROR(VLOOKUP(K92,【参考】数式用!$AX$3:$AY$59, 2, FALSE), "")</f>
        <v/>
      </c>
      <c r="BC92" s="548" t="str">
        <f t="shared" si="49"/>
        <v/>
      </c>
      <c r="BD92" s="551" t="str">
        <f t="shared" si="41"/>
        <v>入力済</v>
      </c>
      <c r="BE92" s="565" t="str">
        <f t="shared" si="50"/>
        <v/>
      </c>
      <c r="BF92" s="551" t="str">
        <f t="shared" si="42"/>
        <v/>
      </c>
      <c r="BG92" s="577"/>
      <c r="BH92" s="531" t="str">
        <f t="shared" si="51"/>
        <v/>
      </c>
      <c r="BI92" s="596" t="str">
        <f>IF(BH92="Ⅱロ有り",ROUNDDOWN(L92*VLOOKUP(K92,【参考】数式用!$A$4:$J$42,10,FALSE)*AA92,0),"")</f>
        <v/>
      </c>
      <c r="BJ92" s="596" t="str">
        <f>IF(BH92="Ⅱロなし",ROUNDDOWN(L92*VLOOKUP(K92,【参考】数式用!$A$4:$J$42,8,FALSE)*AA92,0),"")</f>
        <v/>
      </c>
    </row>
    <row r="93" spans="1:62" ht="109.9" customHeight="1" thickBot="1">
      <c r="A93" s="303">
        <v>80</v>
      </c>
      <c r="B93" s="933" t="str">
        <f>IF(基本情報入力シート!B115="","",基本情報入力シート!B115)</f>
        <v/>
      </c>
      <c r="C93" s="934"/>
      <c r="D93" s="934"/>
      <c r="E93" s="934"/>
      <c r="F93" s="935"/>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49" t="str">
        <f>IF(基本情報入力シート!AF115=0, "",基本情報入力シート!AF115)</f>
        <v/>
      </c>
      <c r="M93" s="573"/>
      <c r="N93" s="514" t="str">
        <f>IFERROR(VLOOKUP(K93,【参考】数式用!$A$2:$F$57,MATCH(M93,【参考】数式用!$C$3:$F$3,0)+2,0),"")</f>
        <v/>
      </c>
      <c r="O93" s="503"/>
      <c r="P93" s="546" t="str">
        <f>IFERROR(VLOOKUP(K93,【参考】数式用!$A$2:$F$57,MATCH(O93,【参考】数式用!$C$3:$F$3,0)+2,0),"")</f>
        <v/>
      </c>
      <c r="Q93" s="310" t="s">
        <v>118</v>
      </c>
      <c r="R93" s="308"/>
      <c r="S93" s="309" t="s">
        <v>183</v>
      </c>
      <c r="T93" s="308"/>
      <c r="U93" s="309" t="s">
        <v>184</v>
      </c>
      <c r="V93" s="308"/>
      <c r="W93" s="309" t="s">
        <v>183</v>
      </c>
      <c r="X93" s="308"/>
      <c r="Y93" s="309" t="s">
        <v>185</v>
      </c>
      <c r="Z93" s="309" t="s">
        <v>186</v>
      </c>
      <c r="AA93" s="309" t="str">
        <f t="shared" si="53"/>
        <v/>
      </c>
      <c r="AB93" s="305" t="s">
        <v>187</v>
      </c>
      <c r="AC93" s="306" t="str">
        <f t="shared" si="43"/>
        <v/>
      </c>
      <c r="AD93" s="507"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48" t="str">
        <f>IFERROR(VLOOKUP(K93,【参考】数式用!$A$2:$N$57,14,FALSE),"")</f>
        <v/>
      </c>
      <c r="AP93" s="548" t="str">
        <f t="shared" si="34"/>
        <v/>
      </c>
      <c r="AQ93" s="552" t="str">
        <f t="shared" si="35"/>
        <v/>
      </c>
      <c r="AR93" s="531" t="str">
        <f t="shared" si="36"/>
        <v>入力済</v>
      </c>
      <c r="AS93" s="548" t="str">
        <f t="shared" si="45"/>
        <v/>
      </c>
      <c r="AT93" s="531" t="str">
        <f t="shared" si="37"/>
        <v>入力済</v>
      </c>
      <c r="AU93" s="531" t="str">
        <f t="shared" si="46"/>
        <v/>
      </c>
      <c r="AV93" s="531" t="str">
        <f t="shared" si="38"/>
        <v/>
      </c>
      <c r="AW93" s="548" t="str">
        <f t="shared" si="39"/>
        <v/>
      </c>
      <c r="AX93" s="548" t="str">
        <f t="shared" si="47"/>
        <v/>
      </c>
      <c r="AY93" s="531" t="str">
        <f>IFERROR(VLOOKUP(K93,【参考】数式用!$AR$5:$AS$39,2, FALSE), "")</f>
        <v/>
      </c>
      <c r="AZ93" s="548" t="str">
        <f t="shared" si="48"/>
        <v/>
      </c>
      <c r="BA93" s="551" t="str">
        <f t="shared" si="40"/>
        <v>入力済</v>
      </c>
      <c r="BB93" s="531" t="str">
        <f>IFERROR(VLOOKUP(K93,【参考】数式用!$AX$3:$AY$59, 2, FALSE), "")</f>
        <v/>
      </c>
      <c r="BC93" s="548" t="str">
        <f t="shared" si="49"/>
        <v/>
      </c>
      <c r="BD93" s="551" t="str">
        <f t="shared" si="41"/>
        <v>入力済</v>
      </c>
      <c r="BE93" s="565" t="str">
        <f t="shared" si="50"/>
        <v/>
      </c>
      <c r="BF93" s="551" t="str">
        <f t="shared" si="42"/>
        <v/>
      </c>
      <c r="BG93" s="577"/>
      <c r="BH93" s="531" t="str">
        <f t="shared" si="51"/>
        <v/>
      </c>
      <c r="BI93" s="596" t="str">
        <f>IF(BH93="Ⅱロ有り",ROUNDDOWN(L93*VLOOKUP(K93,【参考】数式用!$A$4:$J$42,10,FALSE)*AA93,0),"")</f>
        <v/>
      </c>
      <c r="BJ93" s="596" t="str">
        <f>IF(BH93="Ⅱロなし",ROUNDDOWN(L93*VLOOKUP(K93,【参考】数式用!$A$4:$J$42,8,FALSE)*AA93,0),"")</f>
        <v/>
      </c>
    </row>
    <row r="94" spans="1:62" ht="109.9" customHeight="1" thickBot="1">
      <c r="A94" s="303">
        <v>81</v>
      </c>
      <c r="B94" s="933" t="str">
        <f>IF(基本情報入力シート!B116="","",基本情報入力シート!B116)</f>
        <v/>
      </c>
      <c r="C94" s="934"/>
      <c r="D94" s="934"/>
      <c r="E94" s="934"/>
      <c r="F94" s="935"/>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49" t="str">
        <f>IF(基本情報入力シート!AF116=0, "",基本情報入力シート!AF116)</f>
        <v/>
      </c>
      <c r="M94" s="573"/>
      <c r="N94" s="514" t="str">
        <f>IFERROR(VLOOKUP(K94,【参考】数式用!$A$2:$F$57,MATCH(M94,【参考】数式用!$C$3:$F$3,0)+2,0),"")</f>
        <v/>
      </c>
      <c r="O94" s="503"/>
      <c r="P94" s="546" t="str">
        <f>IFERROR(VLOOKUP(K94,【参考】数式用!$A$2:$F$57,MATCH(O94,【参考】数式用!$C$3:$F$3,0)+2,0),"")</f>
        <v/>
      </c>
      <c r="Q94" s="310" t="s">
        <v>118</v>
      </c>
      <c r="R94" s="308"/>
      <c r="S94" s="309" t="s">
        <v>183</v>
      </c>
      <c r="T94" s="308"/>
      <c r="U94" s="309" t="s">
        <v>184</v>
      </c>
      <c r="V94" s="308"/>
      <c r="W94" s="309" t="s">
        <v>183</v>
      </c>
      <c r="X94" s="308"/>
      <c r="Y94" s="309" t="s">
        <v>185</v>
      </c>
      <c r="Z94" s="309" t="s">
        <v>186</v>
      </c>
      <c r="AA94" s="309" t="str">
        <f t="shared" si="53"/>
        <v/>
      </c>
      <c r="AB94" s="305" t="s">
        <v>187</v>
      </c>
      <c r="AC94" s="306" t="str">
        <f t="shared" si="43"/>
        <v/>
      </c>
      <c r="AD94" s="507"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48" t="str">
        <f>IFERROR(VLOOKUP(K94,【参考】数式用!$A$2:$N$57,14,FALSE),"")</f>
        <v/>
      </c>
      <c r="AP94" s="548" t="str">
        <f t="shared" si="34"/>
        <v/>
      </c>
      <c r="AQ94" s="552" t="str">
        <f t="shared" si="35"/>
        <v/>
      </c>
      <c r="AR94" s="531" t="str">
        <f t="shared" si="36"/>
        <v>入力済</v>
      </c>
      <c r="AS94" s="548" t="str">
        <f t="shared" si="45"/>
        <v/>
      </c>
      <c r="AT94" s="531" t="str">
        <f t="shared" si="37"/>
        <v>入力済</v>
      </c>
      <c r="AU94" s="531" t="str">
        <f t="shared" si="46"/>
        <v/>
      </c>
      <c r="AV94" s="531" t="str">
        <f t="shared" si="38"/>
        <v/>
      </c>
      <c r="AW94" s="548" t="str">
        <f t="shared" si="39"/>
        <v/>
      </c>
      <c r="AX94" s="548" t="str">
        <f t="shared" si="47"/>
        <v/>
      </c>
      <c r="AY94" s="531" t="str">
        <f>IFERROR(VLOOKUP(K94,【参考】数式用!$AR$5:$AS$39,2, FALSE), "")</f>
        <v/>
      </c>
      <c r="AZ94" s="548" t="str">
        <f t="shared" si="48"/>
        <v/>
      </c>
      <c r="BA94" s="551" t="str">
        <f t="shared" si="40"/>
        <v>入力済</v>
      </c>
      <c r="BB94" s="531" t="str">
        <f>IFERROR(VLOOKUP(K94,【参考】数式用!$AX$3:$AY$59, 2, FALSE), "")</f>
        <v/>
      </c>
      <c r="BC94" s="548" t="str">
        <f t="shared" si="49"/>
        <v/>
      </c>
      <c r="BD94" s="551" t="str">
        <f t="shared" si="41"/>
        <v>入力済</v>
      </c>
      <c r="BE94" s="565" t="str">
        <f t="shared" si="50"/>
        <v/>
      </c>
      <c r="BF94" s="551" t="str">
        <f t="shared" si="42"/>
        <v/>
      </c>
      <c r="BG94" s="577"/>
      <c r="BH94" s="531" t="str">
        <f t="shared" si="51"/>
        <v/>
      </c>
      <c r="BI94" s="596" t="str">
        <f>IF(BH94="Ⅱロ有り",ROUNDDOWN(L94*VLOOKUP(K94,【参考】数式用!$A$4:$J$42,10,FALSE)*AA94,0),"")</f>
        <v/>
      </c>
      <c r="BJ94" s="596" t="str">
        <f>IF(BH94="Ⅱロなし",ROUNDDOWN(L94*VLOOKUP(K94,【参考】数式用!$A$4:$J$42,8,FALSE)*AA94,0),"")</f>
        <v/>
      </c>
    </row>
    <row r="95" spans="1:62" ht="109.9" customHeight="1" thickBot="1">
      <c r="A95" s="303">
        <v>82</v>
      </c>
      <c r="B95" s="933" t="str">
        <f>IF(基本情報入力シート!B117="","",基本情報入力シート!B117)</f>
        <v/>
      </c>
      <c r="C95" s="934"/>
      <c r="D95" s="934"/>
      <c r="E95" s="934"/>
      <c r="F95" s="935"/>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49" t="str">
        <f>IF(基本情報入力シート!AF117=0, "",基本情報入力シート!AF117)</f>
        <v/>
      </c>
      <c r="M95" s="573"/>
      <c r="N95" s="514" t="str">
        <f>IFERROR(VLOOKUP(K95,【参考】数式用!$A$2:$F$57,MATCH(M95,【参考】数式用!$C$3:$F$3,0)+2,0),"")</f>
        <v/>
      </c>
      <c r="O95" s="503"/>
      <c r="P95" s="546" t="str">
        <f>IFERROR(VLOOKUP(K95,【参考】数式用!$A$2:$F$57,MATCH(O95,【参考】数式用!$C$3:$F$3,0)+2,0),"")</f>
        <v/>
      </c>
      <c r="Q95" s="310" t="s">
        <v>118</v>
      </c>
      <c r="R95" s="308"/>
      <c r="S95" s="309" t="s">
        <v>183</v>
      </c>
      <c r="T95" s="308"/>
      <c r="U95" s="309" t="s">
        <v>184</v>
      </c>
      <c r="V95" s="308"/>
      <c r="W95" s="309" t="s">
        <v>183</v>
      </c>
      <c r="X95" s="308"/>
      <c r="Y95" s="309" t="s">
        <v>185</v>
      </c>
      <c r="Z95" s="309" t="s">
        <v>186</v>
      </c>
      <c r="AA95" s="309" t="str">
        <f t="shared" si="53"/>
        <v/>
      </c>
      <c r="AB95" s="305" t="s">
        <v>187</v>
      </c>
      <c r="AC95" s="306" t="str">
        <f t="shared" si="43"/>
        <v/>
      </c>
      <c r="AD95" s="507"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48" t="str">
        <f>IFERROR(VLOOKUP(K95,【参考】数式用!$A$2:$N$57,14,FALSE),"")</f>
        <v/>
      </c>
      <c r="AP95" s="548" t="str">
        <f t="shared" si="34"/>
        <v/>
      </c>
      <c r="AQ95" s="552" t="str">
        <f t="shared" si="35"/>
        <v/>
      </c>
      <c r="AR95" s="531" t="str">
        <f t="shared" si="36"/>
        <v>入力済</v>
      </c>
      <c r="AS95" s="548" t="str">
        <f t="shared" si="45"/>
        <v/>
      </c>
      <c r="AT95" s="531" t="str">
        <f t="shared" si="37"/>
        <v>入力済</v>
      </c>
      <c r="AU95" s="531" t="str">
        <f t="shared" si="46"/>
        <v/>
      </c>
      <c r="AV95" s="531" t="str">
        <f t="shared" si="38"/>
        <v/>
      </c>
      <c r="AW95" s="548" t="str">
        <f t="shared" si="39"/>
        <v/>
      </c>
      <c r="AX95" s="548" t="str">
        <f t="shared" si="47"/>
        <v/>
      </c>
      <c r="AY95" s="531" t="str">
        <f>IFERROR(VLOOKUP(K95,【参考】数式用!$AR$5:$AS$39,2, FALSE), "")</f>
        <v/>
      </c>
      <c r="AZ95" s="548" t="str">
        <f t="shared" si="48"/>
        <v/>
      </c>
      <c r="BA95" s="551" t="str">
        <f t="shared" si="40"/>
        <v>入力済</v>
      </c>
      <c r="BB95" s="531" t="str">
        <f>IFERROR(VLOOKUP(K95,【参考】数式用!$AX$3:$AY$59, 2, FALSE), "")</f>
        <v/>
      </c>
      <c r="BC95" s="548" t="str">
        <f t="shared" si="49"/>
        <v/>
      </c>
      <c r="BD95" s="551" t="str">
        <f t="shared" si="41"/>
        <v>入力済</v>
      </c>
      <c r="BE95" s="565" t="str">
        <f t="shared" si="50"/>
        <v/>
      </c>
      <c r="BF95" s="551" t="str">
        <f t="shared" si="42"/>
        <v/>
      </c>
      <c r="BG95" s="577"/>
      <c r="BH95" s="531" t="str">
        <f t="shared" si="51"/>
        <v/>
      </c>
      <c r="BI95" s="596" t="str">
        <f>IF(BH95="Ⅱロ有り",ROUNDDOWN(L95*VLOOKUP(K95,【参考】数式用!$A$4:$J$42,10,FALSE)*AA95,0),"")</f>
        <v/>
      </c>
      <c r="BJ95" s="596" t="str">
        <f>IF(BH95="Ⅱロなし",ROUNDDOWN(L95*VLOOKUP(K95,【参考】数式用!$A$4:$J$42,8,FALSE)*AA95,0),"")</f>
        <v/>
      </c>
    </row>
    <row r="96" spans="1:62" ht="109.9" customHeight="1" thickBot="1">
      <c r="A96" s="303">
        <v>83</v>
      </c>
      <c r="B96" s="933" t="str">
        <f>IF(基本情報入力シート!B118="","",基本情報入力シート!B118)</f>
        <v/>
      </c>
      <c r="C96" s="934"/>
      <c r="D96" s="934"/>
      <c r="E96" s="934"/>
      <c r="F96" s="935"/>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49" t="str">
        <f>IF(基本情報入力シート!AF118=0, "",基本情報入力シート!AF118)</f>
        <v/>
      </c>
      <c r="M96" s="573"/>
      <c r="N96" s="514" t="str">
        <f>IFERROR(VLOOKUP(K96,【参考】数式用!$A$2:$F$57,MATCH(M96,【参考】数式用!$C$3:$F$3,0)+2,0),"")</f>
        <v/>
      </c>
      <c r="O96" s="503"/>
      <c r="P96" s="546" t="str">
        <f>IFERROR(VLOOKUP(K96,【参考】数式用!$A$2:$F$57,MATCH(O96,【参考】数式用!$C$3:$F$3,0)+2,0),"")</f>
        <v/>
      </c>
      <c r="Q96" s="310" t="s">
        <v>118</v>
      </c>
      <c r="R96" s="308"/>
      <c r="S96" s="309" t="s">
        <v>183</v>
      </c>
      <c r="T96" s="308"/>
      <c r="U96" s="309" t="s">
        <v>184</v>
      </c>
      <c r="V96" s="308"/>
      <c r="W96" s="309" t="s">
        <v>183</v>
      </c>
      <c r="X96" s="308"/>
      <c r="Y96" s="309" t="s">
        <v>185</v>
      </c>
      <c r="Z96" s="309" t="s">
        <v>186</v>
      </c>
      <c r="AA96" s="309" t="str">
        <f t="shared" si="53"/>
        <v/>
      </c>
      <c r="AB96" s="305" t="s">
        <v>187</v>
      </c>
      <c r="AC96" s="306" t="str">
        <f t="shared" si="43"/>
        <v/>
      </c>
      <c r="AD96" s="507"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48" t="str">
        <f>IFERROR(VLOOKUP(K96,【参考】数式用!$A$2:$N$57,14,FALSE),"")</f>
        <v/>
      </c>
      <c r="AP96" s="548" t="str">
        <f t="shared" si="34"/>
        <v/>
      </c>
      <c r="AQ96" s="552" t="str">
        <f t="shared" si="35"/>
        <v/>
      </c>
      <c r="AR96" s="531" t="str">
        <f t="shared" si="36"/>
        <v>入力済</v>
      </c>
      <c r="AS96" s="548" t="str">
        <f t="shared" si="45"/>
        <v/>
      </c>
      <c r="AT96" s="531" t="str">
        <f t="shared" si="37"/>
        <v>入力済</v>
      </c>
      <c r="AU96" s="531" t="str">
        <f t="shared" si="46"/>
        <v/>
      </c>
      <c r="AV96" s="531" t="str">
        <f t="shared" si="38"/>
        <v/>
      </c>
      <c r="AW96" s="548" t="str">
        <f t="shared" si="39"/>
        <v/>
      </c>
      <c r="AX96" s="548" t="str">
        <f t="shared" si="47"/>
        <v/>
      </c>
      <c r="AY96" s="531" t="str">
        <f>IFERROR(VLOOKUP(K96,【参考】数式用!$AR$5:$AS$39,2, FALSE), "")</f>
        <v/>
      </c>
      <c r="AZ96" s="548" t="str">
        <f t="shared" si="48"/>
        <v/>
      </c>
      <c r="BA96" s="551" t="str">
        <f t="shared" si="40"/>
        <v>入力済</v>
      </c>
      <c r="BB96" s="531" t="str">
        <f>IFERROR(VLOOKUP(K96,【参考】数式用!$AX$3:$AY$59, 2, FALSE), "")</f>
        <v/>
      </c>
      <c r="BC96" s="548" t="str">
        <f t="shared" si="49"/>
        <v/>
      </c>
      <c r="BD96" s="551" t="str">
        <f t="shared" si="41"/>
        <v>入力済</v>
      </c>
      <c r="BE96" s="565" t="str">
        <f t="shared" si="50"/>
        <v/>
      </c>
      <c r="BF96" s="551" t="str">
        <f t="shared" si="42"/>
        <v/>
      </c>
      <c r="BG96" s="577"/>
      <c r="BH96" s="531" t="str">
        <f t="shared" si="51"/>
        <v/>
      </c>
      <c r="BI96" s="596" t="str">
        <f>IF(BH96="Ⅱロ有り",ROUNDDOWN(L96*VLOOKUP(K96,【参考】数式用!$A$4:$J$42,10,FALSE)*AA96,0),"")</f>
        <v/>
      </c>
      <c r="BJ96" s="596" t="str">
        <f>IF(BH96="Ⅱロなし",ROUNDDOWN(L96*VLOOKUP(K96,【参考】数式用!$A$4:$J$42,8,FALSE)*AA96,0),"")</f>
        <v/>
      </c>
    </row>
    <row r="97" spans="1:62" ht="109.9" customHeight="1" thickBot="1">
      <c r="A97" s="303">
        <v>84</v>
      </c>
      <c r="B97" s="933" t="str">
        <f>IF(基本情報入力シート!B119="","",基本情報入力シート!B119)</f>
        <v/>
      </c>
      <c r="C97" s="934"/>
      <c r="D97" s="934"/>
      <c r="E97" s="934"/>
      <c r="F97" s="935"/>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49" t="str">
        <f>IF(基本情報入力シート!AF119=0, "",基本情報入力シート!AF119)</f>
        <v/>
      </c>
      <c r="M97" s="573"/>
      <c r="N97" s="514" t="str">
        <f>IFERROR(VLOOKUP(K97,【参考】数式用!$A$2:$F$57,MATCH(M97,【参考】数式用!$C$3:$F$3,0)+2,0),"")</f>
        <v/>
      </c>
      <c r="O97" s="503"/>
      <c r="P97" s="546" t="str">
        <f>IFERROR(VLOOKUP(K97,【参考】数式用!$A$2:$F$57,MATCH(O97,【参考】数式用!$C$3:$F$3,0)+2,0),"")</f>
        <v/>
      </c>
      <c r="Q97" s="310" t="s">
        <v>118</v>
      </c>
      <c r="R97" s="308"/>
      <c r="S97" s="309" t="s">
        <v>183</v>
      </c>
      <c r="T97" s="308"/>
      <c r="U97" s="309" t="s">
        <v>184</v>
      </c>
      <c r="V97" s="308"/>
      <c r="W97" s="309" t="s">
        <v>183</v>
      </c>
      <c r="X97" s="308"/>
      <c r="Y97" s="309" t="s">
        <v>185</v>
      </c>
      <c r="Z97" s="309" t="s">
        <v>186</v>
      </c>
      <c r="AA97" s="309" t="str">
        <f t="shared" si="53"/>
        <v/>
      </c>
      <c r="AB97" s="305" t="s">
        <v>187</v>
      </c>
      <c r="AC97" s="306" t="str">
        <f t="shared" si="43"/>
        <v/>
      </c>
      <c r="AD97" s="507"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48" t="str">
        <f>IFERROR(VLOOKUP(K97,【参考】数式用!$A$2:$N$57,14,FALSE),"")</f>
        <v/>
      </c>
      <c r="AP97" s="548" t="str">
        <f t="shared" si="34"/>
        <v/>
      </c>
      <c r="AQ97" s="552" t="str">
        <f t="shared" si="35"/>
        <v/>
      </c>
      <c r="AR97" s="531" t="str">
        <f t="shared" si="36"/>
        <v>入力済</v>
      </c>
      <c r="AS97" s="548" t="str">
        <f t="shared" si="45"/>
        <v/>
      </c>
      <c r="AT97" s="531" t="str">
        <f t="shared" si="37"/>
        <v>入力済</v>
      </c>
      <c r="AU97" s="531" t="str">
        <f t="shared" si="46"/>
        <v/>
      </c>
      <c r="AV97" s="531" t="str">
        <f t="shared" si="38"/>
        <v/>
      </c>
      <c r="AW97" s="548" t="str">
        <f t="shared" si="39"/>
        <v/>
      </c>
      <c r="AX97" s="548" t="str">
        <f t="shared" si="47"/>
        <v/>
      </c>
      <c r="AY97" s="531" t="str">
        <f>IFERROR(VLOOKUP(K97,【参考】数式用!$AR$5:$AS$39,2, FALSE), "")</f>
        <v/>
      </c>
      <c r="AZ97" s="548" t="str">
        <f t="shared" si="48"/>
        <v/>
      </c>
      <c r="BA97" s="551" t="str">
        <f t="shared" si="40"/>
        <v>入力済</v>
      </c>
      <c r="BB97" s="531" t="str">
        <f>IFERROR(VLOOKUP(K97,【参考】数式用!$AX$3:$AY$59, 2, FALSE), "")</f>
        <v/>
      </c>
      <c r="BC97" s="548" t="str">
        <f t="shared" si="49"/>
        <v/>
      </c>
      <c r="BD97" s="551" t="str">
        <f t="shared" si="41"/>
        <v>入力済</v>
      </c>
      <c r="BE97" s="565" t="str">
        <f t="shared" si="50"/>
        <v/>
      </c>
      <c r="BF97" s="551" t="str">
        <f t="shared" si="42"/>
        <v/>
      </c>
      <c r="BG97" s="577"/>
      <c r="BH97" s="531" t="str">
        <f t="shared" si="51"/>
        <v/>
      </c>
      <c r="BI97" s="596" t="str">
        <f>IF(BH97="Ⅱロ有り",ROUNDDOWN(L97*VLOOKUP(K97,【参考】数式用!$A$4:$J$42,10,FALSE)*AA97,0),"")</f>
        <v/>
      </c>
      <c r="BJ97" s="596" t="str">
        <f>IF(BH97="Ⅱロなし",ROUNDDOWN(L97*VLOOKUP(K97,【参考】数式用!$A$4:$J$42,8,FALSE)*AA97,0),"")</f>
        <v/>
      </c>
    </row>
    <row r="98" spans="1:62" ht="109.9" customHeight="1" thickBot="1">
      <c r="A98" s="303">
        <v>85</v>
      </c>
      <c r="B98" s="933" t="str">
        <f>IF(基本情報入力シート!B120="","",基本情報入力シート!B120)</f>
        <v/>
      </c>
      <c r="C98" s="934"/>
      <c r="D98" s="934"/>
      <c r="E98" s="934"/>
      <c r="F98" s="935"/>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49" t="str">
        <f>IF(基本情報入力シート!AF120=0, "",基本情報入力シート!AF120)</f>
        <v/>
      </c>
      <c r="M98" s="573"/>
      <c r="N98" s="514" t="str">
        <f>IFERROR(VLOOKUP(K98,【参考】数式用!$A$2:$F$57,MATCH(M98,【参考】数式用!$C$3:$F$3,0)+2,0),"")</f>
        <v/>
      </c>
      <c r="O98" s="503"/>
      <c r="P98" s="546" t="str">
        <f>IFERROR(VLOOKUP(K98,【参考】数式用!$A$2:$F$57,MATCH(O98,【参考】数式用!$C$3:$F$3,0)+2,0),"")</f>
        <v/>
      </c>
      <c r="Q98" s="310" t="s">
        <v>118</v>
      </c>
      <c r="R98" s="308"/>
      <c r="S98" s="309" t="s">
        <v>183</v>
      </c>
      <c r="T98" s="308"/>
      <c r="U98" s="309" t="s">
        <v>184</v>
      </c>
      <c r="V98" s="308"/>
      <c r="W98" s="309" t="s">
        <v>183</v>
      </c>
      <c r="X98" s="308"/>
      <c r="Y98" s="309" t="s">
        <v>185</v>
      </c>
      <c r="Z98" s="309" t="s">
        <v>186</v>
      </c>
      <c r="AA98" s="309" t="str">
        <f t="shared" si="53"/>
        <v/>
      </c>
      <c r="AB98" s="305" t="s">
        <v>187</v>
      </c>
      <c r="AC98" s="306" t="str">
        <f t="shared" si="43"/>
        <v/>
      </c>
      <c r="AD98" s="507"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48" t="str">
        <f>IFERROR(VLOOKUP(K98,【参考】数式用!$A$2:$N$57,14,FALSE),"")</f>
        <v/>
      </c>
      <c r="AP98" s="548" t="str">
        <f t="shared" si="34"/>
        <v/>
      </c>
      <c r="AQ98" s="552" t="str">
        <f t="shared" si="35"/>
        <v/>
      </c>
      <c r="AR98" s="531" t="str">
        <f t="shared" si="36"/>
        <v>入力済</v>
      </c>
      <c r="AS98" s="548" t="str">
        <f t="shared" si="45"/>
        <v/>
      </c>
      <c r="AT98" s="531" t="str">
        <f t="shared" si="37"/>
        <v>入力済</v>
      </c>
      <c r="AU98" s="531" t="str">
        <f t="shared" si="46"/>
        <v/>
      </c>
      <c r="AV98" s="531" t="str">
        <f t="shared" si="38"/>
        <v/>
      </c>
      <c r="AW98" s="548" t="str">
        <f t="shared" si="39"/>
        <v/>
      </c>
      <c r="AX98" s="548" t="str">
        <f t="shared" si="47"/>
        <v/>
      </c>
      <c r="AY98" s="531" t="str">
        <f>IFERROR(VLOOKUP(K98,【参考】数式用!$AR$5:$AS$39,2, FALSE), "")</f>
        <v/>
      </c>
      <c r="AZ98" s="548" t="str">
        <f t="shared" si="48"/>
        <v/>
      </c>
      <c r="BA98" s="551" t="str">
        <f t="shared" si="40"/>
        <v>入力済</v>
      </c>
      <c r="BB98" s="531" t="str">
        <f>IFERROR(VLOOKUP(K98,【参考】数式用!$AX$3:$AY$59, 2, FALSE), "")</f>
        <v/>
      </c>
      <c r="BC98" s="548" t="str">
        <f t="shared" si="49"/>
        <v/>
      </c>
      <c r="BD98" s="551" t="str">
        <f t="shared" si="41"/>
        <v>入力済</v>
      </c>
      <c r="BE98" s="565" t="str">
        <f t="shared" si="50"/>
        <v/>
      </c>
      <c r="BF98" s="551" t="str">
        <f t="shared" si="42"/>
        <v/>
      </c>
      <c r="BG98" s="577"/>
      <c r="BH98" s="531" t="str">
        <f t="shared" si="51"/>
        <v/>
      </c>
      <c r="BI98" s="596" t="str">
        <f>IF(BH98="Ⅱロ有り",ROUNDDOWN(L98*VLOOKUP(K98,【参考】数式用!$A$4:$J$42,10,FALSE)*AA98,0),"")</f>
        <v/>
      </c>
      <c r="BJ98" s="596" t="str">
        <f>IF(BH98="Ⅱロなし",ROUNDDOWN(L98*VLOOKUP(K98,【参考】数式用!$A$4:$J$42,8,FALSE)*AA98,0),"")</f>
        <v/>
      </c>
    </row>
    <row r="99" spans="1:62" ht="109.9" customHeight="1" thickBot="1">
      <c r="A99" s="303">
        <v>86</v>
      </c>
      <c r="B99" s="933" t="str">
        <f>IF(基本情報入力シート!B121="","",基本情報入力シート!B121)</f>
        <v/>
      </c>
      <c r="C99" s="934"/>
      <c r="D99" s="934"/>
      <c r="E99" s="934"/>
      <c r="F99" s="935"/>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49" t="str">
        <f>IF(基本情報入力シート!AF121=0, "",基本情報入力シート!AF121)</f>
        <v/>
      </c>
      <c r="M99" s="573"/>
      <c r="N99" s="514" t="str">
        <f>IFERROR(VLOOKUP(K99,【参考】数式用!$A$2:$F$57,MATCH(M99,【参考】数式用!$C$3:$F$3,0)+2,0),"")</f>
        <v/>
      </c>
      <c r="O99" s="503"/>
      <c r="P99" s="546" t="str">
        <f>IFERROR(VLOOKUP(K99,【参考】数式用!$A$2:$F$57,MATCH(O99,【参考】数式用!$C$3:$F$3,0)+2,0),"")</f>
        <v/>
      </c>
      <c r="Q99" s="310" t="s">
        <v>118</v>
      </c>
      <c r="R99" s="308"/>
      <c r="S99" s="309" t="s">
        <v>183</v>
      </c>
      <c r="T99" s="308"/>
      <c r="U99" s="309" t="s">
        <v>184</v>
      </c>
      <c r="V99" s="308"/>
      <c r="W99" s="309" t="s">
        <v>183</v>
      </c>
      <c r="X99" s="308"/>
      <c r="Y99" s="309" t="s">
        <v>185</v>
      </c>
      <c r="Z99" s="309" t="s">
        <v>186</v>
      </c>
      <c r="AA99" s="309" t="str">
        <f t="shared" si="53"/>
        <v/>
      </c>
      <c r="AB99" s="305" t="s">
        <v>187</v>
      </c>
      <c r="AC99" s="306" t="str">
        <f t="shared" si="43"/>
        <v/>
      </c>
      <c r="AD99" s="507"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48" t="str">
        <f>IFERROR(VLOOKUP(K99,【参考】数式用!$A$2:$N$57,14,FALSE),"")</f>
        <v/>
      </c>
      <c r="AP99" s="548" t="str">
        <f t="shared" si="34"/>
        <v/>
      </c>
      <c r="AQ99" s="552" t="str">
        <f t="shared" si="35"/>
        <v/>
      </c>
      <c r="AR99" s="531" t="str">
        <f t="shared" si="36"/>
        <v>入力済</v>
      </c>
      <c r="AS99" s="548" t="str">
        <f t="shared" si="45"/>
        <v/>
      </c>
      <c r="AT99" s="531" t="str">
        <f t="shared" si="37"/>
        <v>入力済</v>
      </c>
      <c r="AU99" s="531" t="str">
        <f t="shared" si="46"/>
        <v/>
      </c>
      <c r="AV99" s="531" t="str">
        <f t="shared" si="38"/>
        <v/>
      </c>
      <c r="AW99" s="548" t="str">
        <f t="shared" si="39"/>
        <v/>
      </c>
      <c r="AX99" s="548" t="str">
        <f t="shared" si="47"/>
        <v/>
      </c>
      <c r="AY99" s="531" t="str">
        <f>IFERROR(VLOOKUP(K99,【参考】数式用!$AR$5:$AS$39,2, FALSE), "")</f>
        <v/>
      </c>
      <c r="AZ99" s="548" t="str">
        <f t="shared" si="48"/>
        <v/>
      </c>
      <c r="BA99" s="551" t="str">
        <f t="shared" si="40"/>
        <v>入力済</v>
      </c>
      <c r="BB99" s="531" t="str">
        <f>IFERROR(VLOOKUP(K99,【参考】数式用!$AX$3:$AY$59, 2, FALSE), "")</f>
        <v/>
      </c>
      <c r="BC99" s="548" t="str">
        <f t="shared" si="49"/>
        <v/>
      </c>
      <c r="BD99" s="551" t="str">
        <f t="shared" si="41"/>
        <v>入力済</v>
      </c>
      <c r="BE99" s="565" t="str">
        <f t="shared" si="50"/>
        <v/>
      </c>
      <c r="BF99" s="551" t="str">
        <f t="shared" si="42"/>
        <v/>
      </c>
      <c r="BG99" s="577"/>
      <c r="BH99" s="531" t="str">
        <f t="shared" si="51"/>
        <v/>
      </c>
      <c r="BI99" s="596" t="str">
        <f>IF(BH99="Ⅱロ有り",ROUNDDOWN(L99*VLOOKUP(K99,【参考】数式用!$A$4:$J$42,10,FALSE)*AA99,0),"")</f>
        <v/>
      </c>
      <c r="BJ99" s="596" t="str">
        <f>IF(BH99="Ⅱロなし",ROUNDDOWN(L99*VLOOKUP(K99,【参考】数式用!$A$4:$J$42,8,FALSE)*AA99,0),"")</f>
        <v/>
      </c>
    </row>
    <row r="100" spans="1:62" ht="109.9" customHeight="1" thickBot="1">
      <c r="A100" s="303">
        <v>87</v>
      </c>
      <c r="B100" s="933" t="str">
        <f>IF(基本情報入力シート!B122="","",基本情報入力シート!B122)</f>
        <v/>
      </c>
      <c r="C100" s="934"/>
      <c r="D100" s="934"/>
      <c r="E100" s="934"/>
      <c r="F100" s="935"/>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49" t="str">
        <f>IF(基本情報入力シート!AF122=0, "",基本情報入力シート!AF122)</f>
        <v/>
      </c>
      <c r="M100" s="573"/>
      <c r="N100" s="514" t="str">
        <f>IFERROR(VLOOKUP(K100,【参考】数式用!$A$2:$F$57,MATCH(M100,【参考】数式用!$C$3:$F$3,0)+2,0),"")</f>
        <v/>
      </c>
      <c r="O100" s="503"/>
      <c r="P100" s="546" t="str">
        <f>IFERROR(VLOOKUP(K100,【参考】数式用!$A$2:$F$57,MATCH(O100,【参考】数式用!$C$3:$F$3,0)+2,0),"")</f>
        <v/>
      </c>
      <c r="Q100" s="310" t="s">
        <v>118</v>
      </c>
      <c r="R100" s="308"/>
      <c r="S100" s="309" t="s">
        <v>183</v>
      </c>
      <c r="T100" s="308"/>
      <c r="U100" s="309" t="s">
        <v>184</v>
      </c>
      <c r="V100" s="308"/>
      <c r="W100" s="309" t="s">
        <v>183</v>
      </c>
      <c r="X100" s="308"/>
      <c r="Y100" s="309" t="s">
        <v>185</v>
      </c>
      <c r="Z100" s="309" t="s">
        <v>186</v>
      </c>
      <c r="AA100" s="309" t="str">
        <f t="shared" si="53"/>
        <v/>
      </c>
      <c r="AB100" s="305" t="s">
        <v>187</v>
      </c>
      <c r="AC100" s="306" t="str">
        <f t="shared" si="43"/>
        <v/>
      </c>
      <c r="AD100" s="507"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48" t="str">
        <f>IFERROR(VLOOKUP(K100,【参考】数式用!$A$2:$N$57,14,FALSE),"")</f>
        <v/>
      </c>
      <c r="AP100" s="548" t="str">
        <f t="shared" si="34"/>
        <v/>
      </c>
      <c r="AQ100" s="552" t="str">
        <f t="shared" si="35"/>
        <v/>
      </c>
      <c r="AR100" s="531" t="str">
        <f t="shared" si="36"/>
        <v>入力済</v>
      </c>
      <c r="AS100" s="548" t="str">
        <f t="shared" si="45"/>
        <v/>
      </c>
      <c r="AT100" s="531" t="str">
        <f t="shared" si="37"/>
        <v>入力済</v>
      </c>
      <c r="AU100" s="531" t="str">
        <f t="shared" si="46"/>
        <v/>
      </c>
      <c r="AV100" s="531" t="str">
        <f t="shared" si="38"/>
        <v/>
      </c>
      <c r="AW100" s="548" t="str">
        <f t="shared" si="39"/>
        <v/>
      </c>
      <c r="AX100" s="548" t="str">
        <f t="shared" si="47"/>
        <v/>
      </c>
      <c r="AY100" s="531" t="str">
        <f>IFERROR(VLOOKUP(K100,【参考】数式用!$AR$5:$AS$39,2, FALSE), "")</f>
        <v/>
      </c>
      <c r="AZ100" s="548" t="str">
        <f t="shared" si="48"/>
        <v/>
      </c>
      <c r="BA100" s="551" t="str">
        <f t="shared" si="40"/>
        <v>入力済</v>
      </c>
      <c r="BB100" s="531" t="str">
        <f>IFERROR(VLOOKUP(K100,【参考】数式用!$AX$3:$AY$59, 2, FALSE), "")</f>
        <v/>
      </c>
      <c r="BC100" s="548" t="str">
        <f t="shared" si="49"/>
        <v/>
      </c>
      <c r="BD100" s="551" t="str">
        <f t="shared" si="41"/>
        <v>入力済</v>
      </c>
      <c r="BE100" s="565" t="str">
        <f t="shared" si="50"/>
        <v/>
      </c>
      <c r="BF100" s="551" t="str">
        <f t="shared" si="42"/>
        <v/>
      </c>
      <c r="BG100" s="577"/>
      <c r="BH100" s="531" t="str">
        <f t="shared" si="51"/>
        <v/>
      </c>
      <c r="BI100" s="596" t="str">
        <f>IF(BH100="Ⅱロ有り",ROUNDDOWN(L100*VLOOKUP(K100,【参考】数式用!$A$4:$J$42,10,FALSE)*AA100,0),"")</f>
        <v/>
      </c>
      <c r="BJ100" s="596" t="str">
        <f>IF(BH100="Ⅱロなし",ROUNDDOWN(L100*VLOOKUP(K100,【参考】数式用!$A$4:$J$42,8,FALSE)*AA100,0),"")</f>
        <v/>
      </c>
    </row>
    <row r="101" spans="1:62" ht="109.9" customHeight="1" thickBot="1">
      <c r="A101" s="303">
        <v>88</v>
      </c>
      <c r="B101" s="933" t="str">
        <f>IF(基本情報入力シート!B123="","",基本情報入力シート!B123)</f>
        <v/>
      </c>
      <c r="C101" s="934"/>
      <c r="D101" s="934"/>
      <c r="E101" s="934"/>
      <c r="F101" s="935"/>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49" t="str">
        <f>IF(基本情報入力シート!AF123=0, "",基本情報入力シート!AF123)</f>
        <v/>
      </c>
      <c r="M101" s="573"/>
      <c r="N101" s="514" t="str">
        <f>IFERROR(VLOOKUP(K101,【参考】数式用!$A$2:$F$57,MATCH(M101,【参考】数式用!$C$3:$F$3,0)+2,0),"")</f>
        <v/>
      </c>
      <c r="O101" s="503"/>
      <c r="P101" s="546" t="str">
        <f>IFERROR(VLOOKUP(K101,【参考】数式用!$A$2:$F$57,MATCH(O101,【参考】数式用!$C$3:$F$3,0)+2,0),"")</f>
        <v/>
      </c>
      <c r="Q101" s="310" t="s">
        <v>118</v>
      </c>
      <c r="R101" s="308"/>
      <c r="S101" s="309" t="s">
        <v>183</v>
      </c>
      <c r="T101" s="308"/>
      <c r="U101" s="309" t="s">
        <v>184</v>
      </c>
      <c r="V101" s="308"/>
      <c r="W101" s="309" t="s">
        <v>183</v>
      </c>
      <c r="X101" s="308"/>
      <c r="Y101" s="309" t="s">
        <v>185</v>
      </c>
      <c r="Z101" s="309" t="s">
        <v>186</v>
      </c>
      <c r="AA101" s="309" t="str">
        <f t="shared" si="53"/>
        <v/>
      </c>
      <c r="AB101" s="305" t="s">
        <v>187</v>
      </c>
      <c r="AC101" s="306" t="str">
        <f t="shared" si="43"/>
        <v/>
      </c>
      <c r="AD101" s="507"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48" t="str">
        <f>IFERROR(VLOOKUP(K101,【参考】数式用!$A$2:$N$57,14,FALSE),"")</f>
        <v/>
      </c>
      <c r="AP101" s="548" t="str">
        <f t="shared" si="34"/>
        <v/>
      </c>
      <c r="AQ101" s="552" t="str">
        <f t="shared" si="35"/>
        <v/>
      </c>
      <c r="AR101" s="531" t="str">
        <f t="shared" si="36"/>
        <v>入力済</v>
      </c>
      <c r="AS101" s="548" t="str">
        <f t="shared" si="45"/>
        <v/>
      </c>
      <c r="AT101" s="531" t="str">
        <f t="shared" si="37"/>
        <v>入力済</v>
      </c>
      <c r="AU101" s="531" t="str">
        <f t="shared" si="46"/>
        <v/>
      </c>
      <c r="AV101" s="531" t="str">
        <f t="shared" si="38"/>
        <v/>
      </c>
      <c r="AW101" s="548" t="str">
        <f t="shared" si="39"/>
        <v/>
      </c>
      <c r="AX101" s="548" t="str">
        <f t="shared" si="47"/>
        <v/>
      </c>
      <c r="AY101" s="531" t="str">
        <f>IFERROR(VLOOKUP(K101,【参考】数式用!$AR$5:$AS$39,2, FALSE), "")</f>
        <v/>
      </c>
      <c r="AZ101" s="548" t="str">
        <f t="shared" si="48"/>
        <v/>
      </c>
      <c r="BA101" s="551" t="str">
        <f t="shared" si="40"/>
        <v>入力済</v>
      </c>
      <c r="BB101" s="531" t="str">
        <f>IFERROR(VLOOKUP(K101,【参考】数式用!$AX$3:$AY$59, 2, FALSE), "")</f>
        <v/>
      </c>
      <c r="BC101" s="548" t="str">
        <f t="shared" si="49"/>
        <v/>
      </c>
      <c r="BD101" s="551" t="str">
        <f t="shared" si="41"/>
        <v>入力済</v>
      </c>
      <c r="BE101" s="565" t="str">
        <f t="shared" si="50"/>
        <v/>
      </c>
      <c r="BF101" s="551" t="str">
        <f t="shared" si="42"/>
        <v/>
      </c>
      <c r="BG101" s="577"/>
      <c r="BH101" s="531" t="str">
        <f t="shared" si="51"/>
        <v/>
      </c>
      <c r="BI101" s="596" t="str">
        <f>IF(BH101="Ⅱロ有り",ROUNDDOWN(L101*VLOOKUP(K101,【参考】数式用!$A$4:$J$42,10,FALSE)*AA101,0),"")</f>
        <v/>
      </c>
      <c r="BJ101" s="596" t="str">
        <f>IF(BH101="Ⅱロなし",ROUNDDOWN(L101*VLOOKUP(K101,【参考】数式用!$A$4:$J$42,8,FALSE)*AA101,0),"")</f>
        <v/>
      </c>
    </row>
    <row r="102" spans="1:62" ht="109.9" customHeight="1" thickBot="1">
      <c r="A102" s="303">
        <v>89</v>
      </c>
      <c r="B102" s="933" t="str">
        <f>IF(基本情報入力シート!B124="","",基本情報入力シート!B124)</f>
        <v/>
      </c>
      <c r="C102" s="934"/>
      <c r="D102" s="934"/>
      <c r="E102" s="934"/>
      <c r="F102" s="935"/>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49" t="str">
        <f>IF(基本情報入力シート!AF124=0, "",基本情報入力シート!AF124)</f>
        <v/>
      </c>
      <c r="M102" s="573"/>
      <c r="N102" s="514" t="str">
        <f>IFERROR(VLOOKUP(K102,【参考】数式用!$A$2:$F$57,MATCH(M102,【参考】数式用!$C$3:$F$3,0)+2,0),"")</f>
        <v/>
      </c>
      <c r="O102" s="503"/>
      <c r="P102" s="546" t="str">
        <f>IFERROR(VLOOKUP(K102,【参考】数式用!$A$2:$F$57,MATCH(O102,【参考】数式用!$C$3:$F$3,0)+2,0),"")</f>
        <v/>
      </c>
      <c r="Q102" s="310" t="s">
        <v>118</v>
      </c>
      <c r="R102" s="308"/>
      <c r="S102" s="309" t="s">
        <v>183</v>
      </c>
      <c r="T102" s="308"/>
      <c r="U102" s="309" t="s">
        <v>184</v>
      </c>
      <c r="V102" s="308"/>
      <c r="W102" s="309" t="s">
        <v>183</v>
      </c>
      <c r="X102" s="308"/>
      <c r="Y102" s="309" t="s">
        <v>185</v>
      </c>
      <c r="Z102" s="309" t="s">
        <v>186</v>
      </c>
      <c r="AA102" s="309" t="str">
        <f t="shared" si="53"/>
        <v/>
      </c>
      <c r="AB102" s="305" t="s">
        <v>187</v>
      </c>
      <c r="AC102" s="306" t="str">
        <f t="shared" si="43"/>
        <v/>
      </c>
      <c r="AD102" s="507"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48" t="str">
        <f>IFERROR(VLOOKUP(K102,【参考】数式用!$A$2:$N$57,14,FALSE),"")</f>
        <v/>
      </c>
      <c r="AP102" s="548" t="str">
        <f t="shared" si="34"/>
        <v/>
      </c>
      <c r="AQ102" s="552" t="str">
        <f t="shared" si="35"/>
        <v/>
      </c>
      <c r="AR102" s="531" t="str">
        <f t="shared" si="36"/>
        <v>入力済</v>
      </c>
      <c r="AS102" s="548" t="str">
        <f t="shared" si="45"/>
        <v/>
      </c>
      <c r="AT102" s="531" t="str">
        <f t="shared" si="37"/>
        <v>入力済</v>
      </c>
      <c r="AU102" s="531" t="str">
        <f t="shared" si="46"/>
        <v/>
      </c>
      <c r="AV102" s="531" t="str">
        <f t="shared" si="38"/>
        <v/>
      </c>
      <c r="AW102" s="548" t="str">
        <f t="shared" si="39"/>
        <v/>
      </c>
      <c r="AX102" s="548" t="str">
        <f t="shared" si="47"/>
        <v/>
      </c>
      <c r="AY102" s="531" t="str">
        <f>IFERROR(VLOOKUP(K102,【参考】数式用!$AR$5:$AS$39,2, FALSE), "")</f>
        <v/>
      </c>
      <c r="AZ102" s="548" t="str">
        <f t="shared" si="48"/>
        <v/>
      </c>
      <c r="BA102" s="551" t="str">
        <f t="shared" si="40"/>
        <v>入力済</v>
      </c>
      <c r="BB102" s="531" t="str">
        <f>IFERROR(VLOOKUP(K102,【参考】数式用!$AX$3:$AY$59, 2, FALSE), "")</f>
        <v/>
      </c>
      <c r="BC102" s="548" t="str">
        <f t="shared" si="49"/>
        <v/>
      </c>
      <c r="BD102" s="551" t="str">
        <f t="shared" si="41"/>
        <v>入力済</v>
      </c>
      <c r="BE102" s="565" t="str">
        <f t="shared" si="50"/>
        <v/>
      </c>
      <c r="BF102" s="551" t="str">
        <f t="shared" si="42"/>
        <v/>
      </c>
      <c r="BG102" s="577"/>
      <c r="BH102" s="531" t="str">
        <f t="shared" si="51"/>
        <v/>
      </c>
      <c r="BI102" s="596" t="str">
        <f>IF(BH102="Ⅱロ有り",ROUNDDOWN(L102*VLOOKUP(K102,【参考】数式用!$A$4:$J$42,10,FALSE)*AA102,0),"")</f>
        <v/>
      </c>
      <c r="BJ102" s="596" t="str">
        <f>IF(BH102="Ⅱロなし",ROUNDDOWN(L102*VLOOKUP(K102,【参考】数式用!$A$4:$J$42,8,FALSE)*AA102,0),"")</f>
        <v/>
      </c>
    </row>
    <row r="103" spans="1:62" ht="109.9" customHeight="1" thickBot="1">
      <c r="A103" s="303">
        <v>90</v>
      </c>
      <c r="B103" s="933" t="str">
        <f>IF(基本情報入力シート!B125="","",基本情報入力シート!B125)</f>
        <v/>
      </c>
      <c r="C103" s="934"/>
      <c r="D103" s="934"/>
      <c r="E103" s="934"/>
      <c r="F103" s="935"/>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49" t="str">
        <f>IF(基本情報入力シート!AF125=0, "",基本情報入力シート!AF125)</f>
        <v/>
      </c>
      <c r="M103" s="573"/>
      <c r="N103" s="514" t="str">
        <f>IFERROR(VLOOKUP(K103,【参考】数式用!$A$2:$F$57,MATCH(M103,【参考】数式用!$C$3:$F$3,0)+2,0),"")</f>
        <v/>
      </c>
      <c r="O103" s="503"/>
      <c r="P103" s="546" t="str">
        <f>IFERROR(VLOOKUP(K103,【参考】数式用!$A$2:$F$57,MATCH(O103,【参考】数式用!$C$3:$F$3,0)+2,0),"")</f>
        <v/>
      </c>
      <c r="Q103" s="310" t="s">
        <v>118</v>
      </c>
      <c r="R103" s="308"/>
      <c r="S103" s="309" t="s">
        <v>183</v>
      </c>
      <c r="T103" s="308"/>
      <c r="U103" s="309" t="s">
        <v>184</v>
      </c>
      <c r="V103" s="308"/>
      <c r="W103" s="309" t="s">
        <v>183</v>
      </c>
      <c r="X103" s="308"/>
      <c r="Y103" s="309" t="s">
        <v>185</v>
      </c>
      <c r="Z103" s="309" t="s">
        <v>186</v>
      </c>
      <c r="AA103" s="309" t="str">
        <f t="shared" si="53"/>
        <v/>
      </c>
      <c r="AB103" s="305" t="s">
        <v>187</v>
      </c>
      <c r="AC103" s="306" t="str">
        <f t="shared" si="43"/>
        <v/>
      </c>
      <c r="AD103" s="507"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48" t="str">
        <f>IFERROR(VLOOKUP(K103,【参考】数式用!$A$2:$N$57,14,FALSE),"")</f>
        <v/>
      </c>
      <c r="AP103" s="548" t="str">
        <f t="shared" si="34"/>
        <v/>
      </c>
      <c r="AQ103" s="552" t="str">
        <f t="shared" si="35"/>
        <v/>
      </c>
      <c r="AR103" s="531" t="str">
        <f t="shared" si="36"/>
        <v>入力済</v>
      </c>
      <c r="AS103" s="548" t="str">
        <f t="shared" si="45"/>
        <v/>
      </c>
      <c r="AT103" s="531" t="str">
        <f t="shared" si="37"/>
        <v>入力済</v>
      </c>
      <c r="AU103" s="531" t="str">
        <f t="shared" si="46"/>
        <v/>
      </c>
      <c r="AV103" s="531" t="str">
        <f t="shared" si="38"/>
        <v/>
      </c>
      <c r="AW103" s="548" t="str">
        <f t="shared" si="39"/>
        <v/>
      </c>
      <c r="AX103" s="548" t="str">
        <f t="shared" si="47"/>
        <v/>
      </c>
      <c r="AY103" s="531" t="str">
        <f>IFERROR(VLOOKUP(K103,【参考】数式用!$AR$5:$AS$39,2, FALSE), "")</f>
        <v/>
      </c>
      <c r="AZ103" s="548" t="str">
        <f t="shared" si="48"/>
        <v/>
      </c>
      <c r="BA103" s="551" t="str">
        <f t="shared" si="40"/>
        <v>入力済</v>
      </c>
      <c r="BB103" s="531" t="str">
        <f>IFERROR(VLOOKUP(K103,【参考】数式用!$AX$3:$AY$59, 2, FALSE), "")</f>
        <v/>
      </c>
      <c r="BC103" s="548" t="str">
        <f t="shared" si="49"/>
        <v/>
      </c>
      <c r="BD103" s="551" t="str">
        <f t="shared" si="41"/>
        <v>入力済</v>
      </c>
      <c r="BE103" s="565" t="str">
        <f t="shared" si="50"/>
        <v/>
      </c>
      <c r="BF103" s="551" t="str">
        <f t="shared" si="42"/>
        <v/>
      </c>
      <c r="BG103" s="577"/>
      <c r="BH103" s="531" t="str">
        <f t="shared" si="51"/>
        <v/>
      </c>
      <c r="BI103" s="596" t="str">
        <f>IF(BH103="Ⅱロ有り",ROUNDDOWN(L103*VLOOKUP(K103,【参考】数式用!$A$4:$J$42,10,FALSE)*AA103,0),"")</f>
        <v/>
      </c>
      <c r="BJ103" s="596" t="str">
        <f>IF(BH103="Ⅱロなし",ROUNDDOWN(L103*VLOOKUP(K103,【参考】数式用!$A$4:$J$42,8,FALSE)*AA103,0),"")</f>
        <v/>
      </c>
    </row>
    <row r="104" spans="1:62" ht="109.9" customHeight="1" thickBot="1">
      <c r="A104" s="303">
        <v>91</v>
      </c>
      <c r="B104" s="933" t="str">
        <f>IF(基本情報入力シート!B126="","",基本情報入力シート!B126)</f>
        <v/>
      </c>
      <c r="C104" s="934"/>
      <c r="D104" s="934"/>
      <c r="E104" s="934"/>
      <c r="F104" s="935"/>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49" t="str">
        <f>IF(基本情報入力シート!AF126=0, "",基本情報入力シート!AF126)</f>
        <v/>
      </c>
      <c r="M104" s="573"/>
      <c r="N104" s="514" t="str">
        <f>IFERROR(VLOOKUP(K104,【参考】数式用!$A$2:$F$57,MATCH(M104,【参考】数式用!$C$3:$F$3,0)+2,0),"")</f>
        <v/>
      </c>
      <c r="O104" s="503"/>
      <c r="P104" s="546" t="str">
        <f>IFERROR(VLOOKUP(K104,【参考】数式用!$A$2:$F$57,MATCH(O104,【参考】数式用!$C$3:$F$3,0)+2,0),"")</f>
        <v/>
      </c>
      <c r="Q104" s="310" t="s">
        <v>118</v>
      </c>
      <c r="R104" s="308"/>
      <c r="S104" s="309" t="s">
        <v>183</v>
      </c>
      <c r="T104" s="308"/>
      <c r="U104" s="309" t="s">
        <v>184</v>
      </c>
      <c r="V104" s="308"/>
      <c r="W104" s="309" t="s">
        <v>183</v>
      </c>
      <c r="X104" s="308"/>
      <c r="Y104" s="309" t="s">
        <v>185</v>
      </c>
      <c r="Z104" s="309" t="s">
        <v>186</v>
      </c>
      <c r="AA104" s="309" t="str">
        <f t="shared" si="53"/>
        <v/>
      </c>
      <c r="AB104" s="305" t="s">
        <v>187</v>
      </c>
      <c r="AC104" s="306" t="str">
        <f t="shared" si="43"/>
        <v/>
      </c>
      <c r="AD104" s="507"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48" t="str">
        <f>IFERROR(VLOOKUP(K104,【参考】数式用!$A$2:$N$57,14,FALSE),"")</f>
        <v/>
      </c>
      <c r="AP104" s="548" t="str">
        <f t="shared" si="34"/>
        <v/>
      </c>
      <c r="AQ104" s="552" t="str">
        <f t="shared" si="35"/>
        <v/>
      </c>
      <c r="AR104" s="531" t="str">
        <f t="shared" si="36"/>
        <v>入力済</v>
      </c>
      <c r="AS104" s="548" t="str">
        <f t="shared" si="45"/>
        <v/>
      </c>
      <c r="AT104" s="531" t="str">
        <f t="shared" si="37"/>
        <v>入力済</v>
      </c>
      <c r="AU104" s="531" t="str">
        <f t="shared" si="46"/>
        <v/>
      </c>
      <c r="AV104" s="531" t="str">
        <f t="shared" si="38"/>
        <v/>
      </c>
      <c r="AW104" s="548" t="str">
        <f t="shared" si="39"/>
        <v/>
      </c>
      <c r="AX104" s="548" t="str">
        <f t="shared" si="47"/>
        <v/>
      </c>
      <c r="AY104" s="531" t="str">
        <f>IFERROR(VLOOKUP(K104,【参考】数式用!$AR$5:$AS$39,2, FALSE), "")</f>
        <v/>
      </c>
      <c r="AZ104" s="548" t="str">
        <f t="shared" si="48"/>
        <v/>
      </c>
      <c r="BA104" s="551" t="str">
        <f t="shared" si="40"/>
        <v>入力済</v>
      </c>
      <c r="BB104" s="531" t="str">
        <f>IFERROR(VLOOKUP(K104,【参考】数式用!$AX$3:$AY$59, 2, FALSE), "")</f>
        <v/>
      </c>
      <c r="BC104" s="548" t="str">
        <f t="shared" si="49"/>
        <v/>
      </c>
      <c r="BD104" s="551" t="str">
        <f t="shared" si="41"/>
        <v>入力済</v>
      </c>
      <c r="BE104" s="565" t="str">
        <f t="shared" si="50"/>
        <v/>
      </c>
      <c r="BF104" s="551" t="str">
        <f t="shared" si="42"/>
        <v/>
      </c>
      <c r="BG104" s="577"/>
      <c r="BH104" s="531" t="str">
        <f t="shared" si="51"/>
        <v/>
      </c>
      <c r="BI104" s="596" t="str">
        <f>IF(BH104="Ⅱロ有り",ROUNDDOWN(L104*VLOOKUP(K104,【参考】数式用!$A$4:$J$42,10,FALSE)*AA104,0),"")</f>
        <v/>
      </c>
      <c r="BJ104" s="596" t="str">
        <f>IF(BH104="Ⅱロなし",ROUNDDOWN(L104*VLOOKUP(K104,【参考】数式用!$A$4:$J$42,8,FALSE)*AA104,0),"")</f>
        <v/>
      </c>
    </row>
    <row r="105" spans="1:62" ht="109.9" customHeight="1" thickBot="1">
      <c r="A105" s="303">
        <v>92</v>
      </c>
      <c r="B105" s="933" t="str">
        <f>IF(基本情報入力シート!B127="","",基本情報入力シート!B127)</f>
        <v/>
      </c>
      <c r="C105" s="934"/>
      <c r="D105" s="934"/>
      <c r="E105" s="934"/>
      <c r="F105" s="935"/>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49" t="str">
        <f>IF(基本情報入力シート!AF127=0, "",基本情報入力シート!AF127)</f>
        <v/>
      </c>
      <c r="M105" s="573"/>
      <c r="N105" s="514" t="str">
        <f>IFERROR(VLOOKUP(K105,【参考】数式用!$A$2:$F$57,MATCH(M105,【参考】数式用!$C$3:$F$3,0)+2,0),"")</f>
        <v/>
      </c>
      <c r="O105" s="503"/>
      <c r="P105" s="546" t="str">
        <f>IFERROR(VLOOKUP(K105,【参考】数式用!$A$2:$F$57,MATCH(O105,【参考】数式用!$C$3:$F$3,0)+2,0),"")</f>
        <v/>
      </c>
      <c r="Q105" s="310" t="s">
        <v>118</v>
      </c>
      <c r="R105" s="308"/>
      <c r="S105" s="309" t="s">
        <v>183</v>
      </c>
      <c r="T105" s="308"/>
      <c r="U105" s="309" t="s">
        <v>184</v>
      </c>
      <c r="V105" s="308"/>
      <c r="W105" s="309" t="s">
        <v>183</v>
      </c>
      <c r="X105" s="308"/>
      <c r="Y105" s="309" t="s">
        <v>185</v>
      </c>
      <c r="Z105" s="309" t="s">
        <v>186</v>
      </c>
      <c r="AA105" s="309" t="str">
        <f t="shared" si="53"/>
        <v/>
      </c>
      <c r="AB105" s="305" t="s">
        <v>187</v>
      </c>
      <c r="AC105" s="306" t="str">
        <f t="shared" si="43"/>
        <v/>
      </c>
      <c r="AD105" s="507"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48" t="str">
        <f>IFERROR(VLOOKUP(K105,【参考】数式用!$A$2:$N$57,14,FALSE),"")</f>
        <v/>
      </c>
      <c r="AP105" s="548" t="str">
        <f t="shared" si="34"/>
        <v/>
      </c>
      <c r="AQ105" s="552" t="str">
        <f t="shared" si="35"/>
        <v/>
      </c>
      <c r="AR105" s="531" t="str">
        <f t="shared" si="36"/>
        <v>入力済</v>
      </c>
      <c r="AS105" s="548" t="str">
        <f t="shared" si="45"/>
        <v/>
      </c>
      <c r="AT105" s="531" t="str">
        <f t="shared" si="37"/>
        <v>入力済</v>
      </c>
      <c r="AU105" s="531" t="str">
        <f t="shared" si="46"/>
        <v/>
      </c>
      <c r="AV105" s="531" t="str">
        <f t="shared" si="38"/>
        <v/>
      </c>
      <c r="AW105" s="548" t="str">
        <f t="shared" si="39"/>
        <v/>
      </c>
      <c r="AX105" s="548" t="str">
        <f t="shared" si="47"/>
        <v/>
      </c>
      <c r="AY105" s="531" t="str">
        <f>IFERROR(VLOOKUP(K105,【参考】数式用!$AR$5:$AS$39,2, FALSE), "")</f>
        <v/>
      </c>
      <c r="AZ105" s="548" t="str">
        <f t="shared" si="48"/>
        <v/>
      </c>
      <c r="BA105" s="551" t="str">
        <f t="shared" si="40"/>
        <v>入力済</v>
      </c>
      <c r="BB105" s="531" t="str">
        <f>IFERROR(VLOOKUP(K105,【参考】数式用!$AX$3:$AY$59, 2, FALSE), "")</f>
        <v/>
      </c>
      <c r="BC105" s="548" t="str">
        <f t="shared" si="49"/>
        <v/>
      </c>
      <c r="BD105" s="551" t="str">
        <f t="shared" si="41"/>
        <v>入力済</v>
      </c>
      <c r="BE105" s="565" t="str">
        <f t="shared" si="50"/>
        <v/>
      </c>
      <c r="BF105" s="551" t="str">
        <f t="shared" si="42"/>
        <v/>
      </c>
      <c r="BG105" s="577"/>
      <c r="BH105" s="531" t="str">
        <f t="shared" si="51"/>
        <v/>
      </c>
      <c r="BI105" s="596" t="str">
        <f>IF(BH105="Ⅱロ有り",ROUNDDOWN(L105*VLOOKUP(K105,【参考】数式用!$A$4:$J$42,10,FALSE)*AA105,0),"")</f>
        <v/>
      </c>
      <c r="BJ105" s="596" t="str">
        <f>IF(BH105="Ⅱロなし",ROUNDDOWN(L105*VLOOKUP(K105,【参考】数式用!$A$4:$J$42,8,FALSE)*AA105,0),"")</f>
        <v/>
      </c>
    </row>
    <row r="106" spans="1:62" ht="109.9" customHeight="1" thickBot="1">
      <c r="A106" s="303">
        <v>93</v>
      </c>
      <c r="B106" s="933" t="str">
        <f>IF(基本情報入力シート!B128="","",基本情報入力シート!B128)</f>
        <v/>
      </c>
      <c r="C106" s="934"/>
      <c r="D106" s="934"/>
      <c r="E106" s="934"/>
      <c r="F106" s="935"/>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49" t="str">
        <f>IF(基本情報入力シート!AF128=0, "",基本情報入力シート!AF128)</f>
        <v/>
      </c>
      <c r="M106" s="573"/>
      <c r="N106" s="514" t="str">
        <f>IFERROR(VLOOKUP(K106,【参考】数式用!$A$2:$F$57,MATCH(M106,【参考】数式用!$C$3:$F$3,0)+2,0),"")</f>
        <v/>
      </c>
      <c r="O106" s="503"/>
      <c r="P106" s="546" t="str">
        <f>IFERROR(VLOOKUP(K106,【参考】数式用!$A$2:$F$57,MATCH(O106,【参考】数式用!$C$3:$F$3,0)+2,0),"")</f>
        <v/>
      </c>
      <c r="Q106" s="310" t="s">
        <v>118</v>
      </c>
      <c r="R106" s="308"/>
      <c r="S106" s="309" t="s">
        <v>183</v>
      </c>
      <c r="T106" s="308"/>
      <c r="U106" s="309" t="s">
        <v>184</v>
      </c>
      <c r="V106" s="308"/>
      <c r="W106" s="309" t="s">
        <v>183</v>
      </c>
      <c r="X106" s="308"/>
      <c r="Y106" s="309" t="s">
        <v>185</v>
      </c>
      <c r="Z106" s="309" t="s">
        <v>186</v>
      </c>
      <c r="AA106" s="309" t="str">
        <f t="shared" si="53"/>
        <v/>
      </c>
      <c r="AB106" s="305" t="s">
        <v>187</v>
      </c>
      <c r="AC106" s="306" t="str">
        <f t="shared" si="43"/>
        <v/>
      </c>
      <c r="AD106" s="507"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48" t="str">
        <f>IFERROR(VLOOKUP(K106,【参考】数式用!$A$2:$N$57,14,FALSE),"")</f>
        <v/>
      </c>
      <c r="AP106" s="548" t="str">
        <f t="shared" si="34"/>
        <v/>
      </c>
      <c r="AQ106" s="552" t="str">
        <f t="shared" si="35"/>
        <v/>
      </c>
      <c r="AR106" s="531" t="str">
        <f t="shared" si="36"/>
        <v>入力済</v>
      </c>
      <c r="AS106" s="548" t="str">
        <f t="shared" si="45"/>
        <v/>
      </c>
      <c r="AT106" s="531" t="str">
        <f t="shared" si="37"/>
        <v>入力済</v>
      </c>
      <c r="AU106" s="531" t="str">
        <f t="shared" si="46"/>
        <v/>
      </c>
      <c r="AV106" s="531" t="str">
        <f t="shared" si="38"/>
        <v/>
      </c>
      <c r="AW106" s="548" t="str">
        <f t="shared" si="39"/>
        <v/>
      </c>
      <c r="AX106" s="548" t="str">
        <f t="shared" si="47"/>
        <v/>
      </c>
      <c r="AY106" s="531" t="str">
        <f>IFERROR(VLOOKUP(K106,【参考】数式用!$AR$5:$AS$39,2, FALSE), "")</f>
        <v/>
      </c>
      <c r="AZ106" s="548" t="str">
        <f t="shared" si="48"/>
        <v/>
      </c>
      <c r="BA106" s="551" t="str">
        <f t="shared" si="40"/>
        <v>入力済</v>
      </c>
      <c r="BB106" s="531" t="str">
        <f>IFERROR(VLOOKUP(K106,【参考】数式用!$AX$3:$AY$59, 2, FALSE), "")</f>
        <v/>
      </c>
      <c r="BC106" s="548" t="str">
        <f t="shared" si="49"/>
        <v/>
      </c>
      <c r="BD106" s="551" t="str">
        <f t="shared" si="41"/>
        <v>入力済</v>
      </c>
      <c r="BE106" s="565" t="str">
        <f t="shared" si="50"/>
        <v/>
      </c>
      <c r="BF106" s="551" t="str">
        <f t="shared" si="42"/>
        <v/>
      </c>
      <c r="BG106" s="577"/>
      <c r="BH106" s="531" t="str">
        <f t="shared" si="51"/>
        <v/>
      </c>
      <c r="BI106" s="596" t="str">
        <f>IF(BH106="Ⅱロ有り",ROUNDDOWN(L106*VLOOKUP(K106,【参考】数式用!$A$4:$J$42,10,FALSE)*AA106,0),"")</f>
        <v/>
      </c>
      <c r="BJ106" s="596" t="str">
        <f>IF(BH106="Ⅱロなし",ROUNDDOWN(L106*VLOOKUP(K106,【参考】数式用!$A$4:$J$42,8,FALSE)*AA106,0),"")</f>
        <v/>
      </c>
    </row>
    <row r="107" spans="1:62" ht="109.9" customHeight="1" thickBot="1">
      <c r="A107" s="303">
        <v>94</v>
      </c>
      <c r="B107" s="933" t="str">
        <f>IF(基本情報入力シート!B129="","",基本情報入力シート!B129)</f>
        <v/>
      </c>
      <c r="C107" s="934"/>
      <c r="D107" s="934"/>
      <c r="E107" s="934"/>
      <c r="F107" s="935"/>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49" t="str">
        <f>IF(基本情報入力シート!AF129=0, "",基本情報入力シート!AF129)</f>
        <v/>
      </c>
      <c r="M107" s="573"/>
      <c r="N107" s="514" t="str">
        <f>IFERROR(VLOOKUP(K107,【参考】数式用!$A$2:$F$57,MATCH(M107,【参考】数式用!$C$3:$F$3,0)+2,0),"")</f>
        <v/>
      </c>
      <c r="O107" s="503"/>
      <c r="P107" s="546" t="str">
        <f>IFERROR(VLOOKUP(K107,【参考】数式用!$A$2:$F$57,MATCH(O107,【参考】数式用!$C$3:$F$3,0)+2,0),"")</f>
        <v/>
      </c>
      <c r="Q107" s="310" t="s">
        <v>118</v>
      </c>
      <c r="R107" s="308"/>
      <c r="S107" s="309" t="s">
        <v>183</v>
      </c>
      <c r="T107" s="308"/>
      <c r="U107" s="309" t="s">
        <v>184</v>
      </c>
      <c r="V107" s="308"/>
      <c r="W107" s="309" t="s">
        <v>183</v>
      </c>
      <c r="X107" s="308"/>
      <c r="Y107" s="309" t="s">
        <v>185</v>
      </c>
      <c r="Z107" s="309" t="s">
        <v>186</v>
      </c>
      <c r="AA107" s="309" t="str">
        <f t="shared" si="53"/>
        <v/>
      </c>
      <c r="AB107" s="305" t="s">
        <v>187</v>
      </c>
      <c r="AC107" s="306" t="str">
        <f t="shared" si="43"/>
        <v/>
      </c>
      <c r="AD107" s="507"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48" t="str">
        <f>IFERROR(VLOOKUP(K107,【参考】数式用!$A$2:$N$57,14,FALSE),"")</f>
        <v/>
      </c>
      <c r="AP107" s="548" t="str">
        <f t="shared" si="34"/>
        <v/>
      </c>
      <c r="AQ107" s="552" t="str">
        <f t="shared" si="35"/>
        <v/>
      </c>
      <c r="AR107" s="531" t="str">
        <f t="shared" si="36"/>
        <v>入力済</v>
      </c>
      <c r="AS107" s="548" t="str">
        <f t="shared" si="45"/>
        <v/>
      </c>
      <c r="AT107" s="531" t="str">
        <f t="shared" si="37"/>
        <v>入力済</v>
      </c>
      <c r="AU107" s="531" t="str">
        <f t="shared" si="46"/>
        <v/>
      </c>
      <c r="AV107" s="531" t="str">
        <f t="shared" si="38"/>
        <v/>
      </c>
      <c r="AW107" s="548" t="str">
        <f t="shared" si="39"/>
        <v/>
      </c>
      <c r="AX107" s="548" t="str">
        <f t="shared" si="47"/>
        <v/>
      </c>
      <c r="AY107" s="531" t="str">
        <f>IFERROR(VLOOKUP(K107,【参考】数式用!$AR$5:$AS$39,2, FALSE), "")</f>
        <v/>
      </c>
      <c r="AZ107" s="548" t="str">
        <f t="shared" si="48"/>
        <v/>
      </c>
      <c r="BA107" s="551" t="str">
        <f t="shared" si="40"/>
        <v>入力済</v>
      </c>
      <c r="BB107" s="531" t="str">
        <f>IFERROR(VLOOKUP(K107,【参考】数式用!$AX$3:$AY$59, 2, FALSE), "")</f>
        <v/>
      </c>
      <c r="BC107" s="548" t="str">
        <f t="shared" si="49"/>
        <v/>
      </c>
      <c r="BD107" s="551" t="str">
        <f t="shared" si="41"/>
        <v>入力済</v>
      </c>
      <c r="BE107" s="565" t="str">
        <f t="shared" si="50"/>
        <v/>
      </c>
      <c r="BF107" s="551" t="str">
        <f t="shared" si="42"/>
        <v/>
      </c>
      <c r="BG107" s="577"/>
      <c r="BH107" s="531" t="str">
        <f t="shared" si="51"/>
        <v/>
      </c>
      <c r="BI107" s="596" t="str">
        <f>IF(BH107="Ⅱロ有り",ROUNDDOWN(L107*VLOOKUP(K107,【参考】数式用!$A$4:$J$42,10,FALSE)*AA107,0),"")</f>
        <v/>
      </c>
      <c r="BJ107" s="596" t="str">
        <f>IF(BH107="Ⅱロなし",ROUNDDOWN(L107*VLOOKUP(K107,【参考】数式用!$A$4:$J$42,8,FALSE)*AA107,0),"")</f>
        <v/>
      </c>
    </row>
    <row r="108" spans="1:62" ht="109.9" customHeight="1" thickBot="1">
      <c r="A108" s="303">
        <v>95</v>
      </c>
      <c r="B108" s="933" t="str">
        <f>IF(基本情報入力シート!B130="","",基本情報入力シート!B130)</f>
        <v/>
      </c>
      <c r="C108" s="934"/>
      <c r="D108" s="934"/>
      <c r="E108" s="934"/>
      <c r="F108" s="935"/>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49" t="str">
        <f>IF(基本情報入力シート!AF130=0, "",基本情報入力シート!AF130)</f>
        <v/>
      </c>
      <c r="M108" s="573"/>
      <c r="N108" s="514" t="str">
        <f>IFERROR(VLOOKUP(K108,【参考】数式用!$A$2:$F$57,MATCH(M108,【参考】数式用!$C$3:$F$3,0)+2,0),"")</f>
        <v/>
      </c>
      <c r="O108" s="503"/>
      <c r="P108" s="546" t="str">
        <f>IFERROR(VLOOKUP(K108,【参考】数式用!$A$2:$F$57,MATCH(O108,【参考】数式用!$C$3:$F$3,0)+2,0),"")</f>
        <v/>
      </c>
      <c r="Q108" s="310" t="s">
        <v>118</v>
      </c>
      <c r="R108" s="308"/>
      <c r="S108" s="309" t="s">
        <v>183</v>
      </c>
      <c r="T108" s="308"/>
      <c r="U108" s="309" t="s">
        <v>184</v>
      </c>
      <c r="V108" s="308"/>
      <c r="W108" s="309" t="s">
        <v>183</v>
      </c>
      <c r="X108" s="308"/>
      <c r="Y108" s="309" t="s">
        <v>185</v>
      </c>
      <c r="Z108" s="309" t="s">
        <v>186</v>
      </c>
      <c r="AA108" s="309" t="str">
        <f t="shared" si="53"/>
        <v/>
      </c>
      <c r="AB108" s="305" t="s">
        <v>187</v>
      </c>
      <c r="AC108" s="306" t="str">
        <f t="shared" si="43"/>
        <v/>
      </c>
      <c r="AD108" s="507"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48" t="str">
        <f>IFERROR(VLOOKUP(K108,【参考】数式用!$A$2:$N$57,14,FALSE),"")</f>
        <v/>
      </c>
      <c r="AP108" s="548" t="str">
        <f t="shared" si="34"/>
        <v/>
      </c>
      <c r="AQ108" s="552" t="str">
        <f t="shared" si="35"/>
        <v/>
      </c>
      <c r="AR108" s="531" t="str">
        <f t="shared" si="36"/>
        <v>入力済</v>
      </c>
      <c r="AS108" s="548" t="str">
        <f t="shared" si="45"/>
        <v/>
      </c>
      <c r="AT108" s="531" t="str">
        <f t="shared" si="37"/>
        <v>入力済</v>
      </c>
      <c r="AU108" s="531" t="str">
        <f t="shared" si="46"/>
        <v/>
      </c>
      <c r="AV108" s="531" t="str">
        <f t="shared" si="38"/>
        <v/>
      </c>
      <c r="AW108" s="548" t="str">
        <f t="shared" si="39"/>
        <v/>
      </c>
      <c r="AX108" s="548" t="str">
        <f t="shared" si="47"/>
        <v/>
      </c>
      <c r="AY108" s="531" t="str">
        <f>IFERROR(VLOOKUP(K108,【参考】数式用!$AR$5:$AS$39,2, FALSE), "")</f>
        <v/>
      </c>
      <c r="AZ108" s="548" t="str">
        <f t="shared" si="48"/>
        <v/>
      </c>
      <c r="BA108" s="551" t="str">
        <f t="shared" si="40"/>
        <v>入力済</v>
      </c>
      <c r="BB108" s="531" t="str">
        <f>IFERROR(VLOOKUP(K108,【参考】数式用!$AX$3:$AY$59, 2, FALSE), "")</f>
        <v/>
      </c>
      <c r="BC108" s="548" t="str">
        <f t="shared" si="49"/>
        <v/>
      </c>
      <c r="BD108" s="551" t="str">
        <f t="shared" si="41"/>
        <v>入力済</v>
      </c>
      <c r="BE108" s="565" t="str">
        <f t="shared" si="50"/>
        <v/>
      </c>
      <c r="BF108" s="551" t="str">
        <f t="shared" si="42"/>
        <v/>
      </c>
      <c r="BG108" s="577"/>
      <c r="BH108" s="531" t="str">
        <f t="shared" si="51"/>
        <v/>
      </c>
      <c r="BI108" s="596" t="str">
        <f>IF(BH108="Ⅱロ有り",ROUNDDOWN(L108*VLOOKUP(K108,【参考】数式用!$A$4:$J$42,10,FALSE)*AA108,0),"")</f>
        <v/>
      </c>
      <c r="BJ108" s="596" t="str">
        <f>IF(BH108="Ⅱロなし",ROUNDDOWN(L108*VLOOKUP(K108,【参考】数式用!$A$4:$J$42,8,FALSE)*AA108,0),"")</f>
        <v/>
      </c>
    </row>
    <row r="109" spans="1:62" ht="109.9" customHeight="1" thickBot="1">
      <c r="A109" s="303">
        <v>96</v>
      </c>
      <c r="B109" s="933" t="str">
        <f>IF(基本情報入力シート!B131="","",基本情報入力シート!B131)</f>
        <v/>
      </c>
      <c r="C109" s="934"/>
      <c r="D109" s="934"/>
      <c r="E109" s="934"/>
      <c r="F109" s="935"/>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49" t="str">
        <f>IF(基本情報入力シート!AF131=0, "",基本情報入力シート!AF131)</f>
        <v/>
      </c>
      <c r="M109" s="573"/>
      <c r="N109" s="514" t="str">
        <f>IFERROR(VLOOKUP(K109,【参考】数式用!$A$2:$F$57,MATCH(M109,【参考】数式用!$C$3:$F$3,0)+2,0),"")</f>
        <v/>
      </c>
      <c r="O109" s="503"/>
      <c r="P109" s="546" t="str">
        <f>IFERROR(VLOOKUP(K109,【参考】数式用!$A$2:$F$57,MATCH(O109,【参考】数式用!$C$3:$F$3,0)+2,0),"")</f>
        <v/>
      </c>
      <c r="Q109" s="310" t="s">
        <v>118</v>
      </c>
      <c r="R109" s="308"/>
      <c r="S109" s="309" t="s">
        <v>183</v>
      </c>
      <c r="T109" s="308"/>
      <c r="U109" s="309" t="s">
        <v>184</v>
      </c>
      <c r="V109" s="308"/>
      <c r="W109" s="309" t="s">
        <v>183</v>
      </c>
      <c r="X109" s="308"/>
      <c r="Y109" s="309" t="s">
        <v>185</v>
      </c>
      <c r="Z109" s="309" t="s">
        <v>186</v>
      </c>
      <c r="AA109" s="309" t="str">
        <f t="shared" si="53"/>
        <v/>
      </c>
      <c r="AB109" s="305" t="s">
        <v>187</v>
      </c>
      <c r="AC109" s="306" t="str">
        <f t="shared" si="43"/>
        <v/>
      </c>
      <c r="AD109" s="507"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48" t="str">
        <f>IFERROR(VLOOKUP(K109,【参考】数式用!$A$2:$N$57,14,FALSE),"")</f>
        <v/>
      </c>
      <c r="AP109" s="548" t="str">
        <f t="shared" ref="AP109:AP113" si="54">IF(AND(K109&lt;&gt;"",AO109="加算対象"),"N列に色付け","")</f>
        <v/>
      </c>
      <c r="AQ109" s="552" t="str">
        <f t="shared" si="35"/>
        <v/>
      </c>
      <c r="AR109" s="531" t="str">
        <f t="shared" si="36"/>
        <v>入力済</v>
      </c>
      <c r="AS109" s="548" t="str">
        <f t="shared" si="45"/>
        <v/>
      </c>
      <c r="AT109" s="531" t="str">
        <f t="shared" si="37"/>
        <v>入力済</v>
      </c>
      <c r="AU109" s="531" t="str">
        <f t="shared" si="46"/>
        <v/>
      </c>
      <c r="AV109" s="531" t="str">
        <f t="shared" ref="AV109:AV113" si="55">IF(AND(AO109="加算対象",O109&lt;&gt;"処遇改善加算Ⅲ",O109&lt;&gt;"処遇改善加算Ⅳ", O109&lt;&gt;"", AU109&lt;&gt;"対象外"), 1,"")</f>
        <v/>
      </c>
      <c r="AW109" s="548" t="str">
        <f t="shared" ref="AW109:AW113" si="56">IF(AND(AV109=1, OR(AI109=0,AI109=""),AO109="加算対象"),"AH列に色付け","")</f>
        <v/>
      </c>
      <c r="AX109" s="548" t="str">
        <f t="shared" si="47"/>
        <v/>
      </c>
      <c r="AY109" s="531" t="str">
        <f>IFERROR(VLOOKUP(K109,【参考】数式用!$AR$5:$AS$39,2, FALSE), "")</f>
        <v/>
      </c>
      <c r="AZ109" s="548" t="str">
        <f t="shared" si="48"/>
        <v/>
      </c>
      <c r="BA109" s="551" t="str">
        <f t="shared" si="40"/>
        <v>入力済</v>
      </c>
      <c r="BB109" s="531" t="str">
        <f>IFERROR(VLOOKUP(K109,【参考】数式用!$AX$3:$AY$59, 2, FALSE), "")</f>
        <v/>
      </c>
      <c r="BC109" s="548" t="str">
        <f t="shared" si="49"/>
        <v/>
      </c>
      <c r="BD109" s="551" t="str">
        <f t="shared" si="41"/>
        <v>入力済</v>
      </c>
      <c r="BE109" s="565" t="str">
        <f t="shared" si="50"/>
        <v/>
      </c>
      <c r="BF109" s="551" t="str">
        <f t="shared" si="42"/>
        <v/>
      </c>
      <c r="BG109" s="577"/>
      <c r="BH109" s="531" t="str">
        <f t="shared" si="51"/>
        <v/>
      </c>
      <c r="BI109" s="596" t="str">
        <f>IF(BH109="Ⅱロ有り",ROUNDDOWN(L109*VLOOKUP(K109,【参考】数式用!$A$4:$J$42,10,FALSE)*AA109,0),"")</f>
        <v/>
      </c>
      <c r="BJ109" s="596" t="str">
        <f>IF(BH109="Ⅱロなし",ROUNDDOWN(L109*VLOOKUP(K109,【参考】数式用!$A$4:$J$42,8,FALSE)*AA109,0),"")</f>
        <v/>
      </c>
    </row>
    <row r="110" spans="1:62" ht="109.9" customHeight="1" thickBot="1">
      <c r="A110" s="303">
        <v>97</v>
      </c>
      <c r="B110" s="933" t="str">
        <f>IF(基本情報入力シート!B132="","",基本情報入力シート!B132)</f>
        <v/>
      </c>
      <c r="C110" s="934"/>
      <c r="D110" s="934"/>
      <c r="E110" s="934"/>
      <c r="F110" s="935"/>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49" t="str">
        <f>IF(基本情報入力シート!AF132=0, "",基本情報入力シート!AF132)</f>
        <v/>
      </c>
      <c r="M110" s="573"/>
      <c r="N110" s="514" t="str">
        <f>IFERROR(VLOOKUP(K110,【参考】数式用!$A$2:$F$57,MATCH(M110,【参考】数式用!$C$3:$F$3,0)+2,0),"")</f>
        <v/>
      </c>
      <c r="O110" s="503"/>
      <c r="P110" s="546" t="str">
        <f>IFERROR(VLOOKUP(K110,【参考】数式用!$A$2:$F$57,MATCH(O110,【参考】数式用!$C$3:$F$3,0)+2,0),"")</f>
        <v/>
      </c>
      <c r="Q110" s="310" t="s">
        <v>118</v>
      </c>
      <c r="R110" s="308"/>
      <c r="S110" s="309" t="s">
        <v>183</v>
      </c>
      <c r="T110" s="308"/>
      <c r="U110" s="309" t="s">
        <v>184</v>
      </c>
      <c r="V110" s="308"/>
      <c r="W110" s="309" t="s">
        <v>183</v>
      </c>
      <c r="X110" s="308"/>
      <c r="Y110" s="309" t="s">
        <v>185</v>
      </c>
      <c r="Z110" s="309" t="s">
        <v>186</v>
      </c>
      <c r="AA110" s="309" t="str">
        <f t="shared" si="53"/>
        <v/>
      </c>
      <c r="AB110" s="305" t="s">
        <v>187</v>
      </c>
      <c r="AC110" s="306" t="str">
        <f t="shared" si="43"/>
        <v/>
      </c>
      <c r="AD110" s="507"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48" t="str">
        <f>IFERROR(VLOOKUP(K110,【参考】数式用!$A$2:$N$57,14,FALSE),"")</f>
        <v/>
      </c>
      <c r="AP110" s="548" t="str">
        <f t="shared" si="54"/>
        <v/>
      </c>
      <c r="AQ110" s="552" t="str">
        <f t="shared" si="35"/>
        <v/>
      </c>
      <c r="AR110" s="531" t="str">
        <f t="shared" si="36"/>
        <v>入力済</v>
      </c>
      <c r="AS110" s="548" t="str">
        <f t="shared" si="45"/>
        <v/>
      </c>
      <c r="AT110" s="531" t="str">
        <f t="shared" si="37"/>
        <v>入力済</v>
      </c>
      <c r="AU110" s="531" t="str">
        <f t="shared" si="46"/>
        <v/>
      </c>
      <c r="AV110" s="531" t="str">
        <f t="shared" si="55"/>
        <v/>
      </c>
      <c r="AW110" s="548" t="str">
        <f t="shared" si="56"/>
        <v/>
      </c>
      <c r="AX110" s="548" t="str">
        <f t="shared" si="47"/>
        <v/>
      </c>
      <c r="AY110" s="531" t="str">
        <f>IFERROR(VLOOKUP(K110,【参考】数式用!$AR$5:$AS$39,2, FALSE), "")</f>
        <v/>
      </c>
      <c r="AZ110" s="548" t="str">
        <f t="shared" si="48"/>
        <v/>
      </c>
      <c r="BA110" s="551" t="str">
        <f t="shared" si="40"/>
        <v>入力済</v>
      </c>
      <c r="BB110" s="531" t="str">
        <f>IFERROR(VLOOKUP(K110,【参考】数式用!$AX$3:$AY$59, 2, FALSE), "")</f>
        <v/>
      </c>
      <c r="BC110" s="548" t="str">
        <f t="shared" si="49"/>
        <v/>
      </c>
      <c r="BD110" s="551" t="str">
        <f t="shared" si="41"/>
        <v>入力済</v>
      </c>
      <c r="BE110" s="565" t="str">
        <f t="shared" si="50"/>
        <v/>
      </c>
      <c r="BF110" s="551" t="str">
        <f t="shared" si="42"/>
        <v/>
      </c>
      <c r="BG110" s="577"/>
      <c r="BH110" s="531" t="str">
        <f t="shared" si="51"/>
        <v/>
      </c>
      <c r="BI110" s="596" t="str">
        <f>IF(BH110="Ⅱロ有り",ROUNDDOWN(L110*VLOOKUP(K110,【参考】数式用!$A$4:$J$42,10,FALSE)*AA110,0),"")</f>
        <v/>
      </c>
      <c r="BJ110" s="596" t="str">
        <f>IF(BH110="Ⅱロなし",ROUNDDOWN(L110*VLOOKUP(K110,【参考】数式用!$A$4:$J$42,8,FALSE)*AA110,0),"")</f>
        <v/>
      </c>
    </row>
    <row r="111" spans="1:62" ht="109.9" customHeight="1" thickBot="1">
      <c r="A111" s="303">
        <v>98</v>
      </c>
      <c r="B111" s="933" t="str">
        <f>IF(基本情報入力シート!B133="","",基本情報入力シート!B133)</f>
        <v/>
      </c>
      <c r="C111" s="934"/>
      <c r="D111" s="934"/>
      <c r="E111" s="934"/>
      <c r="F111" s="935"/>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49" t="str">
        <f>IF(基本情報入力シート!AF133=0, "",基本情報入力シート!AF133)</f>
        <v/>
      </c>
      <c r="M111" s="573"/>
      <c r="N111" s="514" t="str">
        <f>IFERROR(VLOOKUP(K111,【参考】数式用!$A$2:$F$57,MATCH(M111,【参考】数式用!$C$3:$F$3,0)+2,0),"")</f>
        <v/>
      </c>
      <c r="O111" s="503"/>
      <c r="P111" s="546" t="str">
        <f>IFERROR(VLOOKUP(K111,【参考】数式用!$A$2:$F$57,MATCH(O111,【参考】数式用!$C$3:$F$3,0)+2,0),"")</f>
        <v/>
      </c>
      <c r="Q111" s="310" t="s">
        <v>118</v>
      </c>
      <c r="R111" s="308"/>
      <c r="S111" s="309" t="s">
        <v>183</v>
      </c>
      <c r="T111" s="308"/>
      <c r="U111" s="309" t="s">
        <v>184</v>
      </c>
      <c r="V111" s="308"/>
      <c r="W111" s="309" t="s">
        <v>183</v>
      </c>
      <c r="X111" s="308"/>
      <c r="Y111" s="309" t="s">
        <v>185</v>
      </c>
      <c r="Z111" s="309" t="s">
        <v>186</v>
      </c>
      <c r="AA111" s="309" t="str">
        <f t="shared" si="53"/>
        <v/>
      </c>
      <c r="AB111" s="305" t="s">
        <v>187</v>
      </c>
      <c r="AC111" s="306" t="str">
        <f t="shared" si="43"/>
        <v/>
      </c>
      <c r="AD111" s="507"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48" t="str">
        <f>IFERROR(VLOOKUP(K111,【参考】数式用!$A$2:$N$57,14,FALSE),"")</f>
        <v/>
      </c>
      <c r="AP111" s="548" t="str">
        <f t="shared" si="54"/>
        <v/>
      </c>
      <c r="AQ111" s="552" t="str">
        <f t="shared" si="35"/>
        <v/>
      </c>
      <c r="AR111" s="531" t="str">
        <f t="shared" si="36"/>
        <v>入力済</v>
      </c>
      <c r="AS111" s="548" t="str">
        <f t="shared" si="45"/>
        <v/>
      </c>
      <c r="AT111" s="531" t="str">
        <f t="shared" si="37"/>
        <v>入力済</v>
      </c>
      <c r="AU111" s="531" t="str">
        <f t="shared" si="46"/>
        <v/>
      </c>
      <c r="AV111" s="531" t="str">
        <f t="shared" si="55"/>
        <v/>
      </c>
      <c r="AW111" s="548" t="str">
        <f t="shared" si="56"/>
        <v/>
      </c>
      <c r="AX111" s="548" t="str">
        <f t="shared" si="47"/>
        <v/>
      </c>
      <c r="AY111" s="531" t="str">
        <f>IFERROR(VLOOKUP(K111,【参考】数式用!$AR$5:$AS$39,2, FALSE), "")</f>
        <v/>
      </c>
      <c r="AZ111" s="548" t="str">
        <f t="shared" si="48"/>
        <v/>
      </c>
      <c r="BA111" s="551" t="str">
        <f t="shared" si="40"/>
        <v>入力済</v>
      </c>
      <c r="BB111" s="531" t="str">
        <f>IFERROR(VLOOKUP(K111,【参考】数式用!$AX$3:$AY$59, 2, FALSE), "")</f>
        <v/>
      </c>
      <c r="BC111" s="548" t="str">
        <f t="shared" si="49"/>
        <v/>
      </c>
      <c r="BD111" s="551" t="str">
        <f t="shared" si="41"/>
        <v>入力済</v>
      </c>
      <c r="BE111" s="565" t="str">
        <f t="shared" si="50"/>
        <v/>
      </c>
      <c r="BF111" s="551" t="str">
        <f t="shared" si="42"/>
        <v/>
      </c>
      <c r="BG111" s="577"/>
      <c r="BH111" s="531" t="str">
        <f t="shared" si="51"/>
        <v/>
      </c>
      <c r="BI111" s="596" t="str">
        <f>IF(BH111="Ⅱロ有り",ROUNDDOWN(L111*VLOOKUP(K111,【参考】数式用!$A$4:$J$42,10,FALSE)*AA111,0),"")</f>
        <v/>
      </c>
      <c r="BJ111" s="596" t="str">
        <f>IF(BH111="Ⅱロなし",ROUNDDOWN(L111*VLOOKUP(K111,【参考】数式用!$A$4:$J$42,8,FALSE)*AA111,0),"")</f>
        <v/>
      </c>
    </row>
    <row r="112" spans="1:62" ht="109.9" customHeight="1" thickBot="1">
      <c r="A112" s="333">
        <v>99</v>
      </c>
      <c r="B112" s="936" t="str">
        <f>IF(基本情報入力シート!B134="","",基本情報入力シート!B134)</f>
        <v/>
      </c>
      <c r="C112" s="937"/>
      <c r="D112" s="937"/>
      <c r="E112" s="937"/>
      <c r="F112" s="938"/>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74"/>
      <c r="N112" s="514" t="str">
        <f>IFERROR(VLOOKUP(K112,【参考】数式用!$A$2:$F$57,MATCH(M112,【参考】数式用!$C$3:$F$3,0)+2,0),"")</f>
        <v/>
      </c>
      <c r="O112" s="504"/>
      <c r="P112" s="337" t="str">
        <f>IFERROR(VLOOKUP(K112,【参考】数式用!$A$2:$F$57,MATCH(O112,【参考】数式用!$C$3:$F$3,0)+2,0),"")</f>
        <v/>
      </c>
      <c r="Q112" s="310" t="s">
        <v>118</v>
      </c>
      <c r="R112" s="308"/>
      <c r="S112" s="309" t="s">
        <v>183</v>
      </c>
      <c r="T112" s="308"/>
      <c r="U112" s="309" t="s">
        <v>184</v>
      </c>
      <c r="V112" s="308"/>
      <c r="W112" s="309" t="s">
        <v>183</v>
      </c>
      <c r="X112" s="308"/>
      <c r="Y112" s="309" t="s">
        <v>185</v>
      </c>
      <c r="Z112" s="309" t="s">
        <v>186</v>
      </c>
      <c r="AA112" s="309" t="str">
        <f t="shared" si="53"/>
        <v/>
      </c>
      <c r="AB112" s="305" t="s">
        <v>187</v>
      </c>
      <c r="AC112" s="306" t="str">
        <f t="shared" si="43"/>
        <v/>
      </c>
      <c r="AD112" s="507"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48" t="str">
        <f>IFERROR(VLOOKUP(K112,【参考】数式用!$A$2:$N$57,14,FALSE),"")</f>
        <v/>
      </c>
      <c r="AP112" s="548" t="str">
        <f t="shared" si="54"/>
        <v/>
      </c>
      <c r="AQ112" s="552" t="str">
        <f t="shared" si="35"/>
        <v/>
      </c>
      <c r="AR112" s="531" t="str">
        <f t="shared" si="36"/>
        <v>入力済</v>
      </c>
      <c r="AS112" s="548" t="str">
        <f t="shared" si="45"/>
        <v/>
      </c>
      <c r="AT112" s="531" t="str">
        <f t="shared" si="37"/>
        <v>入力済</v>
      </c>
      <c r="AU112" s="531" t="str">
        <f t="shared" si="46"/>
        <v/>
      </c>
      <c r="AV112" s="531" t="str">
        <f t="shared" si="55"/>
        <v/>
      </c>
      <c r="AW112" s="548" t="str">
        <f t="shared" si="56"/>
        <v/>
      </c>
      <c r="AX112" s="548" t="str">
        <f t="shared" si="47"/>
        <v/>
      </c>
      <c r="AY112" s="531" t="str">
        <f>IFERROR(VLOOKUP(K112,【参考】数式用!$AR$5:$AS$39,2, FALSE), "")</f>
        <v/>
      </c>
      <c r="AZ112" s="548" t="str">
        <f t="shared" si="48"/>
        <v/>
      </c>
      <c r="BA112" s="551" t="str">
        <f t="shared" si="40"/>
        <v>入力済</v>
      </c>
      <c r="BB112" s="531" t="str">
        <f>IFERROR(VLOOKUP(K112,【参考】数式用!$AX$3:$AY$59, 2, FALSE), "")</f>
        <v/>
      </c>
      <c r="BC112" s="548" t="str">
        <f t="shared" si="49"/>
        <v/>
      </c>
      <c r="BD112" s="551" t="str">
        <f t="shared" si="41"/>
        <v>入力済</v>
      </c>
      <c r="BE112" s="565" t="str">
        <f t="shared" si="50"/>
        <v/>
      </c>
      <c r="BF112" s="551" t="str">
        <f t="shared" si="42"/>
        <v/>
      </c>
      <c r="BG112" s="577"/>
      <c r="BH112" s="531" t="str">
        <f t="shared" si="51"/>
        <v/>
      </c>
      <c r="BI112" s="596" t="str">
        <f>IF(BH112="Ⅱロ有り",ROUNDDOWN(L112*VLOOKUP(K112,【参考】数式用!$A$4:$J$42,10,FALSE)*AA112,0),"")</f>
        <v/>
      </c>
      <c r="BJ112" s="596" t="str">
        <f>IF(BH112="Ⅱロなし",ROUNDDOWN(L112*VLOOKUP(K112,【参考】数式用!$A$4:$J$42,8,FALSE)*AA112,0),"")</f>
        <v/>
      </c>
    </row>
    <row r="113" spans="1:62" ht="109.9" customHeight="1" thickBot="1">
      <c r="A113" s="327">
        <v>100</v>
      </c>
      <c r="B113" s="930" t="str">
        <f>IF(基本情報入力シート!B135="","",基本情報入力シート!B135)</f>
        <v/>
      </c>
      <c r="C113" s="931"/>
      <c r="D113" s="931"/>
      <c r="E113" s="931"/>
      <c r="F113" s="932"/>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50" t="str">
        <f>IF(基本情報入力シート!AF135=0, "",基本情報入力シート!AF135)</f>
        <v/>
      </c>
      <c r="M113" s="575"/>
      <c r="N113" s="514" t="str">
        <f>IFERROR(VLOOKUP(K113,【参考】数式用!$A$2:$F$57,MATCH(M113,【参考】数式用!$C$3:$F$3,0)+2,0),"")</f>
        <v/>
      </c>
      <c r="O113" s="505"/>
      <c r="P113" s="547" t="str">
        <f>IFERROR(VLOOKUP(K113,【参考】数式用!$A$2:$F$57,MATCH(O113,【参考】数式用!$C$3:$F$3,0)+2,0),"")</f>
        <v/>
      </c>
      <c r="Q113" s="338" t="s">
        <v>118</v>
      </c>
      <c r="R113" s="339"/>
      <c r="S113" s="340" t="s">
        <v>183</v>
      </c>
      <c r="T113" s="339"/>
      <c r="U113" s="340" t="s">
        <v>184</v>
      </c>
      <c r="V113" s="339"/>
      <c r="W113" s="340" t="s">
        <v>183</v>
      </c>
      <c r="X113" s="339"/>
      <c r="Y113" s="340" t="s">
        <v>185</v>
      </c>
      <c r="Z113" s="340" t="s">
        <v>186</v>
      </c>
      <c r="AA113" s="340" t="str">
        <f t="shared" si="53"/>
        <v/>
      </c>
      <c r="AB113" s="341" t="s">
        <v>187</v>
      </c>
      <c r="AC113" s="508" t="str">
        <f t="shared" si="43"/>
        <v/>
      </c>
      <c r="AD113" s="510" t="str">
        <f t="shared" si="44"/>
        <v/>
      </c>
      <c r="AE113" s="509" t="str">
        <f>IFERROR(ROUNDDOWN(ROUNDDOWN(ROUND(L113*VLOOKUP(K113,【参考】数式用!$A$4:$F$57,MATCH("処遇改善加算Ⅳ",【参考】数式用!$C$3:$F$3,0)+2,0),0),0)*AA113*0.5,0), "")</f>
        <v/>
      </c>
      <c r="AF113" s="329"/>
      <c r="AG113" s="330"/>
      <c r="AH113" s="330"/>
      <c r="AI113" s="318"/>
      <c r="AJ113" s="320"/>
      <c r="AK113" s="331"/>
      <c r="AL113" s="332" t="str">
        <f t="shared" si="33"/>
        <v/>
      </c>
      <c r="AM113" s="325" t="str">
        <f t="shared" si="52"/>
        <v/>
      </c>
      <c r="AN113" s="255"/>
      <c r="AO113" s="548" t="str">
        <f>IFERROR(VLOOKUP(K113,【参考】数式用!$A$2:$N$57,14,FALSE),"")</f>
        <v/>
      </c>
      <c r="AP113" s="548" t="str">
        <f t="shared" si="54"/>
        <v/>
      </c>
      <c r="AQ113" s="552" t="str">
        <f t="shared" si="35"/>
        <v/>
      </c>
      <c r="AR113" s="531" t="str">
        <f t="shared" si="36"/>
        <v>入力済</v>
      </c>
      <c r="AS113" s="548" t="str">
        <f t="shared" si="45"/>
        <v/>
      </c>
      <c r="AT113" s="531" t="str">
        <f t="shared" si="37"/>
        <v>入力済</v>
      </c>
      <c r="AU113" s="531" t="str">
        <f t="shared" si="46"/>
        <v/>
      </c>
      <c r="AV113" s="531" t="str">
        <f t="shared" si="55"/>
        <v/>
      </c>
      <c r="AW113" s="548" t="str">
        <f t="shared" si="56"/>
        <v/>
      </c>
      <c r="AX113" s="548" t="str">
        <f t="shared" si="47"/>
        <v/>
      </c>
      <c r="AY113" s="531" t="str">
        <f>IFERROR(VLOOKUP(K113,【参考】数式用!$AR$5:$AS$39,2, FALSE), "")</f>
        <v/>
      </c>
      <c r="AZ113" s="548" t="str">
        <f t="shared" si="48"/>
        <v/>
      </c>
      <c r="BA113" s="551" t="str">
        <f t="shared" si="40"/>
        <v>入力済</v>
      </c>
      <c r="BB113" s="531" t="str">
        <f>IFERROR(VLOOKUP(K113,【参考】数式用!$AX$3:$AY$59, 2, FALSE), "")</f>
        <v/>
      </c>
      <c r="BC113" s="548" t="str">
        <f t="shared" si="49"/>
        <v/>
      </c>
      <c r="BD113" s="551" t="str">
        <f t="shared" si="41"/>
        <v>入力済</v>
      </c>
      <c r="BE113" s="565" t="str">
        <f t="shared" si="50"/>
        <v/>
      </c>
      <c r="BF113" s="551" t="str">
        <f t="shared" si="42"/>
        <v/>
      </c>
      <c r="BG113" s="577"/>
      <c r="BH113" s="531" t="str">
        <f t="shared" si="51"/>
        <v/>
      </c>
      <c r="BI113" s="596" t="str">
        <f>IF(BH113="Ⅱロ有り",ROUNDDOWN(L113*VLOOKUP(K113,【参考】数式用!$A$4:$J$42,10,FALSE)*AA113,0),"")</f>
        <v/>
      </c>
      <c r="BJ113" s="596" t="str">
        <f>IF(BH113="Ⅱロなし",ROUNDDOWN(L113*VLOOKUP(K113,【参考】数式用!$A$4:$J$42,8,FALSE)*AA113,0),"")</f>
        <v/>
      </c>
    </row>
  </sheetData>
  <sheetProtection algorithmName="SHA-512" hashValue="NB4fzQIDYibarQ9CcE82ZH6nGxG6STGXwStyg9n39UwbHGcRksP0COXZM08SGl370z+AmVrE24kSPStOYKAW+Q==" saltValue="qLbzg/f7EtU4kTZIcjha4w==" spinCount="100000" sheet="1" formatCells="0" formatColumns="0" formatRows="0" sort="0" autoFilter="0"/>
  <autoFilter ref="BF12:BF13" xr:uid="{12455542-A36C-492D-90AA-570031E4E39B}"/>
  <dataConsolidate/>
  <mergeCells count="137">
    <mergeCell ref="A3:C3"/>
    <mergeCell ref="D3:J3"/>
    <mergeCell ref="AG4:AK4"/>
    <mergeCell ref="A5:K5"/>
    <mergeCell ref="L5:N5"/>
    <mergeCell ref="AG5:AJ5"/>
    <mergeCell ref="BN6:BP6"/>
    <mergeCell ref="A7:K7"/>
    <mergeCell ref="L7:N7"/>
    <mergeCell ref="A8:L8"/>
    <mergeCell ref="AR9:AY9"/>
    <mergeCell ref="BA9:BF9"/>
    <mergeCell ref="BH9:BI9"/>
    <mergeCell ref="BJ9:BL9"/>
    <mergeCell ref="B6:K6"/>
    <mergeCell ref="L6:N6"/>
    <mergeCell ref="AG6:AJ6"/>
    <mergeCell ref="AY6:BF6"/>
    <mergeCell ref="BG6:BJ6"/>
    <mergeCell ref="BL6:BM6"/>
    <mergeCell ref="AE10:AF10"/>
    <mergeCell ref="A11:A12"/>
    <mergeCell ref="B11:F12"/>
    <mergeCell ref="G11:G12"/>
    <mergeCell ref="H11:I11"/>
    <mergeCell ref="J11:J12"/>
    <mergeCell ref="K11:K12"/>
    <mergeCell ref="L11:L12"/>
    <mergeCell ref="M11:N11"/>
    <mergeCell ref="AL12:AM12"/>
    <mergeCell ref="B13:F13"/>
    <mergeCell ref="B14:F14"/>
    <mergeCell ref="B15:F15"/>
    <mergeCell ref="B16:F16"/>
    <mergeCell ref="O11:O12"/>
    <mergeCell ref="P11:P12"/>
    <mergeCell ref="Q11:AB12"/>
    <mergeCell ref="AC11:AC12"/>
    <mergeCell ref="AD11:AD12"/>
    <mergeCell ref="AE11:AF11"/>
    <mergeCell ref="B23:F23"/>
    <mergeCell ref="B24:F24"/>
    <mergeCell ref="B25:F25"/>
    <mergeCell ref="B26:F26"/>
    <mergeCell ref="B27:F27"/>
    <mergeCell ref="B28:F28"/>
    <mergeCell ref="B17:F17"/>
    <mergeCell ref="B18:F18"/>
    <mergeCell ref="B19:F19"/>
    <mergeCell ref="B20:F20"/>
    <mergeCell ref="B21:F21"/>
    <mergeCell ref="B22:F22"/>
    <mergeCell ref="B35:F35"/>
    <mergeCell ref="B36:F36"/>
    <mergeCell ref="B37:F37"/>
    <mergeCell ref="B38:F38"/>
    <mergeCell ref="B39:F39"/>
    <mergeCell ref="B40:F40"/>
    <mergeCell ref="B29:F29"/>
    <mergeCell ref="B30:F30"/>
    <mergeCell ref="B31:F31"/>
    <mergeCell ref="B32:F32"/>
    <mergeCell ref="B33:F33"/>
    <mergeCell ref="B34:F34"/>
    <mergeCell ref="B47:F47"/>
    <mergeCell ref="B48:F48"/>
    <mergeCell ref="B49:F49"/>
    <mergeCell ref="B50:F50"/>
    <mergeCell ref="B51:F51"/>
    <mergeCell ref="B52:F52"/>
    <mergeCell ref="B41:F41"/>
    <mergeCell ref="B42:F42"/>
    <mergeCell ref="B43:F43"/>
    <mergeCell ref="B44:F44"/>
    <mergeCell ref="B45:F45"/>
    <mergeCell ref="B46:F46"/>
    <mergeCell ref="B59:F59"/>
    <mergeCell ref="B60:F60"/>
    <mergeCell ref="B61:F61"/>
    <mergeCell ref="B62:F62"/>
    <mergeCell ref="B63:F63"/>
    <mergeCell ref="B64:F64"/>
    <mergeCell ref="B53:F53"/>
    <mergeCell ref="B54:F54"/>
    <mergeCell ref="B55:F55"/>
    <mergeCell ref="B56:F56"/>
    <mergeCell ref="B57:F57"/>
    <mergeCell ref="B58:F58"/>
    <mergeCell ref="B71:F71"/>
    <mergeCell ref="B72:F72"/>
    <mergeCell ref="B73:F73"/>
    <mergeCell ref="B74:F74"/>
    <mergeCell ref="B75:F75"/>
    <mergeCell ref="B76:F76"/>
    <mergeCell ref="B65:F65"/>
    <mergeCell ref="B66:F66"/>
    <mergeCell ref="B67:F67"/>
    <mergeCell ref="B68:F68"/>
    <mergeCell ref="B69:F69"/>
    <mergeCell ref="B70:F70"/>
    <mergeCell ref="B83:F83"/>
    <mergeCell ref="B84:F84"/>
    <mergeCell ref="B85:F85"/>
    <mergeCell ref="B86:F86"/>
    <mergeCell ref="B87:F87"/>
    <mergeCell ref="B88:F88"/>
    <mergeCell ref="B77:F77"/>
    <mergeCell ref="B78:F78"/>
    <mergeCell ref="B79:F79"/>
    <mergeCell ref="B80:F80"/>
    <mergeCell ref="B81:F81"/>
    <mergeCell ref="B82:F82"/>
    <mergeCell ref="B95:F95"/>
    <mergeCell ref="B96:F96"/>
    <mergeCell ref="B97:F97"/>
    <mergeCell ref="B98:F98"/>
    <mergeCell ref="B99:F99"/>
    <mergeCell ref="B100:F100"/>
    <mergeCell ref="B89:F89"/>
    <mergeCell ref="B90:F90"/>
    <mergeCell ref="B91:F91"/>
    <mergeCell ref="B92:F92"/>
    <mergeCell ref="B93:F93"/>
    <mergeCell ref="B94:F94"/>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s>
  <phoneticPr fontId="13"/>
  <conditionalFormatting sqref="A13:AM113">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13">
    <cfRule type="expression" dxfId="30" priority="2">
      <formula>AP13=""</formula>
    </cfRule>
  </conditionalFormatting>
  <conditionalFormatting sqref="O13:O113">
    <cfRule type="expression" dxfId="29" priority="14">
      <formula>AP13=""</formula>
    </cfRule>
  </conditionalFormatting>
  <conditionalFormatting sqref="P13:P113">
    <cfRule type="expression" dxfId="28" priority="16">
      <formula>AND(P13&lt;#REF!, #REF!&lt;&gt;"")</formula>
    </cfRule>
  </conditionalFormatting>
  <conditionalFormatting sqref="R13:R115">
    <cfRule type="expression" dxfId="27" priority="6">
      <formula>O13&lt;&gt;""</formula>
    </cfRule>
  </conditionalFormatting>
  <conditionalFormatting sqref="T13:T113">
    <cfRule type="expression" dxfId="26" priority="13">
      <formula>O13&lt;&gt;""</formula>
    </cfRule>
  </conditionalFormatting>
  <conditionalFormatting sqref="V13:V113">
    <cfRule type="expression" dxfId="25" priority="8">
      <formula>O13&lt;&gt;""</formula>
    </cfRule>
  </conditionalFormatting>
  <conditionalFormatting sqref="X13:X113">
    <cfRule type="expression" dxfId="24" priority="12">
      <formula>O13&lt;&gt;""</formula>
    </cfRule>
  </conditionalFormatting>
  <conditionalFormatting sqref="AF13:AF113">
    <cfRule type="expression" dxfId="23" priority="11">
      <formula>AND($O13&lt;&gt;"", $AE13&lt;&gt;0, $AE13&lt;&gt;"")</formula>
    </cfRule>
  </conditionalFormatting>
  <conditionalFormatting sqref="AG13:AG113">
    <cfRule type="expression" dxfId="22" priority="10">
      <formula>AO13="加算対象"</formula>
    </cfRule>
  </conditionalFormatting>
  <conditionalFormatting sqref="AH13:AH113">
    <cfRule type="expression" dxfId="21" priority="9">
      <formula>AS13="AH列に色付け"</formula>
    </cfRule>
  </conditionalFormatting>
  <conditionalFormatting sqref="AH18">
    <cfRule type="expression" dxfId="20" priority="5">
      <formula>AP18="加算対象"</formula>
    </cfRule>
  </conditionalFormatting>
  <conditionalFormatting sqref="AI13:AI113">
    <cfRule type="expression" dxfId="19" priority="15">
      <formula>AV13&lt;&gt;""</formula>
    </cfRule>
  </conditionalFormatting>
  <conditionalFormatting sqref="AJ13:AJ113">
    <cfRule type="expression" dxfId="18" priority="3">
      <formula>AZ13&lt;&gt;""</formula>
    </cfRule>
  </conditionalFormatting>
  <conditionalFormatting sqref="AK10">
    <cfRule type="expression" dxfId="17" priority="4">
      <formula>$BG$13=0</formula>
    </cfRule>
  </conditionalFormatting>
  <conditionalFormatting sqref="AK13:AK113">
    <cfRule type="expression" dxfId="16" priority="7">
      <formula>BC13&lt;&gt;""</formula>
    </cfRule>
  </conditionalFormatting>
  <dataValidations count="6">
    <dataValidation type="list" allowBlank="1" showInputMessage="1" showErrorMessage="1" sqref="AJ13:AJ113" xr:uid="{C50937BB-9C7D-42D5-8D9C-B7FDB9BED438}">
      <formula1>INDIRECT(AY13)</formula1>
    </dataValidation>
    <dataValidation type="list" allowBlank="1" showInputMessage="1" showErrorMessage="1" sqref="AK13:AK113"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13" xr:uid="{1D190B2B-BA36-4335-8E41-7DCB299EE19A}">
      <formula1>"4,5"</formula1>
    </dataValidation>
    <dataValidation type="list" imeMode="halfAlpha" allowBlank="1" showDropDown="1" showInputMessage="1" showErrorMessage="1" error="このセルには８しか入力できません。" sqref="V13:V113 R13:R115" xr:uid="{D9ECC9A9-CEF2-4983-AE87-F8044DC969E3}">
      <formula1>"8"</formula1>
    </dataValidation>
    <dataValidation type="list" imeMode="halfAlpha" allowBlank="1" showDropDown="1" showInputMessage="1" showErrorMessage="1" error="このセルには４または５の数字しか入力できません。" sqref="X13 T13:T113" xr:uid="{245A3386-F912-4B2D-87B8-CD5825E41CD3}">
      <formula1>"4,5"</formula1>
    </dataValidation>
    <dataValidation imeMode="halfAlpha" allowBlank="1" showInputMessage="1" showErrorMessage="1" sqref="G13:K113 B13:B113"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699F0C9-CD9F-44D3-8019-9E656CFA488B}">
          <x14:formula1>
            <xm:f>【参考】数式用!$B$45:$F$45</xm:f>
          </x14:formula1>
          <xm:sqref>M13:M113</xm:sqref>
        </x14:dataValidation>
        <x14:dataValidation type="list" allowBlank="1" showInputMessage="1" showErrorMessage="1" xr:uid="{4CB06A21-2F93-4B29-A726-A266F4EE7443}">
          <x14:formula1>
            <xm:f>【参考】数式用!$BF$5:$BF$8</xm:f>
          </x14:formula1>
          <xm:sqref>AG13:AH113</xm:sqref>
        </x14:dataValidation>
        <x14:dataValidation type="list" allowBlank="1" showInputMessage="1" showErrorMessage="1" xr:uid="{0FD90381-0A08-4BCD-9D19-AC1224CFD1B6}">
          <x14:formula1>
            <xm:f>【参考】数式用!$BF$2:$BF$3</xm:f>
          </x14:formula1>
          <xm:sqref>AF13:AF113</xm:sqref>
        </x14:dataValidation>
        <x14:dataValidation type="list" allowBlank="1" showInputMessage="1" showErrorMessage="1" xr:uid="{317684AB-5EC3-4AFA-BE50-7F539EE6291D}">
          <x14:formula1>
            <xm:f>【参考】数式用!$C$3:$F$3</xm:f>
          </x14:formula1>
          <xm:sqref>O13:O113</xm:sqref>
        </x14:dataValidation>
        <x14:dataValidation type="list" operator="greaterThanOrEqual" allowBlank="1" showInputMessage="1" showErrorMessage="1" xr:uid="{6335F7C7-E717-41FC-9B14-15F774DDD211}">
          <x14:formula1>
            <xm:f>【参考】数式用!$BF$22:$BF$23</xm:f>
          </x14:formula1>
          <xm:sqref>AI13:AI113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19"/>
  <sheetViews>
    <sheetView view="pageBreakPreview" topLeftCell="A13" zoomScale="60" zoomScaleNormal="85" zoomScalePageLayoutView="70" workbookViewId="0">
      <selection activeCell="AG19" sqref="AG19"/>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2" width="25.125" customWidth="1"/>
    <col min="13" max="14" width="15.625" customWidth="1"/>
    <col min="15" max="15" width="25.12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12" customWidth="1"/>
    <col min="36" max="36" width="20.875" style="314" customWidth="1"/>
    <col min="37" max="37" width="21.375" style="260" customWidth="1"/>
    <col min="38" max="40" width="22.375" style="261" customWidth="1"/>
    <col min="41" max="41" width="21.375" style="261" hidden="1" customWidth="1"/>
    <col min="42" max="42" width="20.25" style="17" hidden="1" customWidth="1"/>
    <col min="43" max="43" width="13" style="17" hidden="1" customWidth="1"/>
    <col min="44" max="44" width="34.125" style="17" hidden="1" customWidth="1"/>
    <col min="45" max="45" width="16.25" style="219" hidden="1" customWidth="1"/>
    <col min="46" max="46" width="20.25" style="17" hidden="1" customWidth="1"/>
    <col min="47" max="47" width="13" style="219" hidden="1" customWidth="1"/>
    <col min="48" max="48" width="14.25" style="219" hidden="1" customWidth="1"/>
    <col min="49" max="49" width="19.75" style="219" hidden="1" customWidth="1"/>
    <col min="50" max="50" width="24.375" style="219" hidden="1" customWidth="1"/>
    <col min="51" max="51" width="27.25" style="219" hidden="1" customWidth="1"/>
    <col min="52" max="52" width="16.25" style="219" hidden="1" customWidth="1"/>
    <col min="53" max="53" width="9.5" style="219" hidden="1" customWidth="1"/>
    <col min="54" max="54" width="31.375" style="219" hidden="1" customWidth="1"/>
    <col min="55" max="55" width="16.25" style="219" hidden="1" customWidth="1"/>
    <col min="56" max="56" width="9.5" style="219" hidden="1" customWidth="1"/>
    <col min="57" max="57" width="9" style="219" hidden="1" customWidth="1"/>
    <col min="58" max="58" width="9.5" style="219" hidden="1" customWidth="1"/>
    <col min="59" max="59" width="9" style="219" hidden="1" customWidth="1"/>
    <col min="60" max="60" width="9.5" style="219" hidden="1" customWidth="1"/>
    <col min="61" max="61" width="8.25" style="219" hidden="1" customWidth="1"/>
    <col min="62" max="62" width="3.5" style="219" hidden="1" customWidth="1"/>
    <col min="63" max="63" width="4.25" style="219" hidden="1" customWidth="1"/>
    <col min="64" max="64" width="13.25" style="219" hidden="1" customWidth="1"/>
    <col min="65" max="66" width="15.375" style="219" hidden="1" customWidth="1"/>
    <col min="67" max="67" width="12.75" style="560" hidden="1" customWidth="1"/>
    <col min="68" max="68" width="10.375" style="219" hidden="1" customWidth="1"/>
    <col min="69" max="69" width="16" style="219" hidden="1" customWidth="1"/>
    <col min="70" max="70" width="18.375" style="219" hidden="1" customWidth="1"/>
    <col min="71" max="71" width="14.125" style="219" hidden="1" customWidth="1"/>
    <col min="72" max="72" width="24.875" style="219" hidden="1" customWidth="1"/>
    <col min="73" max="73" width="24.5" style="578" hidden="1" customWidth="1"/>
    <col min="74" max="74" width="26.125" hidden="1" customWidth="1"/>
  </cols>
  <sheetData>
    <row r="1" spans="1:74" ht="29.25" customHeight="1" thickBot="1">
      <c r="A1" s="209" t="s">
        <v>190</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24" t="s">
        <v>3</v>
      </c>
      <c r="AK1" s="524" t="str">
        <f>IF(基本情報入力シート!C11="", "",基本情報入力シート!C11)</f>
        <v>東京都</v>
      </c>
      <c r="AL1" s="217"/>
      <c r="AM1" s="217"/>
      <c r="AN1" s="217"/>
      <c r="AO1" s="217"/>
      <c r="AP1" s="218"/>
      <c r="AQ1" s="217"/>
      <c r="AR1" s="217"/>
      <c r="AT1" s="218"/>
      <c r="BK1" s="220"/>
      <c r="BL1"/>
      <c r="BM1"/>
      <c r="BN1"/>
      <c r="BO1" s="559"/>
      <c r="BP1"/>
      <c r="BQ1"/>
      <c r="BR1"/>
      <c r="BS1"/>
      <c r="BT1"/>
      <c r="BU1" s="559"/>
    </row>
    <row r="2" spans="1:74"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59"/>
      <c r="BP2"/>
      <c r="BQ2"/>
      <c r="BR2"/>
      <c r="BS2"/>
      <c r="BT2"/>
      <c r="BU2" s="559"/>
    </row>
    <row r="3" spans="1:74" ht="27" customHeight="1" thickBot="1">
      <c r="A3" s="989" t="s">
        <v>46</v>
      </c>
      <c r="B3" s="989"/>
      <c r="C3" s="990"/>
      <c r="D3" s="991" t="str">
        <f>IF(基本情報入力シート!L16="","",基本情報入力シート!L16)</f>
        <v>○○サービス事業所</v>
      </c>
      <c r="E3" s="992"/>
      <c r="F3" s="992"/>
      <c r="G3" s="992"/>
      <c r="H3" s="992"/>
      <c r="I3" s="992"/>
      <c r="J3" s="993"/>
      <c r="K3" s="96"/>
      <c r="L3" s="227"/>
      <c r="M3" s="227"/>
      <c r="N3" s="227"/>
      <c r="O3" s="529"/>
      <c r="P3" s="529"/>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59"/>
    </row>
    <row r="4" spans="1:74" ht="21" customHeight="1" thickBot="1">
      <c r="A4" s="545"/>
      <c r="B4" s="229"/>
      <c r="C4" s="229"/>
      <c r="D4" s="230"/>
      <c r="E4" s="230"/>
      <c r="F4" s="230"/>
      <c r="G4" s="55"/>
      <c r="H4" s="55"/>
      <c r="I4" s="55"/>
      <c r="J4" s="55"/>
      <c r="K4" s="55"/>
      <c r="L4" s="227"/>
      <c r="M4" s="227"/>
      <c r="N4" s="227"/>
      <c r="O4" s="529"/>
      <c r="P4" s="529"/>
      <c r="Q4" s="213"/>
      <c r="R4" s="214"/>
      <c r="S4" s="57"/>
      <c r="T4" s="215"/>
      <c r="U4" s="215"/>
      <c r="V4" s="215"/>
      <c r="W4" s="215"/>
      <c r="X4" s="215"/>
      <c r="Y4" s="215"/>
      <c r="Z4" s="215"/>
      <c r="AA4" s="215"/>
      <c r="AB4" s="215"/>
      <c r="AC4" s="215"/>
      <c r="AD4" s="215"/>
      <c r="AE4" s="215"/>
      <c r="AF4" s="216"/>
      <c r="AG4" s="994" t="s">
        <v>2193</v>
      </c>
      <c r="AH4" s="994"/>
      <c r="AI4" s="994"/>
      <c r="AJ4" s="994"/>
      <c r="AK4" s="994"/>
      <c r="AL4" s="52"/>
      <c r="AM4" s="52"/>
      <c r="AN4" s="52"/>
      <c r="AO4" s="52"/>
      <c r="AP4" s="52"/>
      <c r="AT4" s="52"/>
      <c r="BP4" s="220"/>
      <c r="BQ4"/>
      <c r="BR4"/>
      <c r="BS4"/>
      <c r="BT4"/>
      <c r="BU4" s="559"/>
    </row>
    <row r="5" spans="1:74" ht="51" customHeight="1" thickBot="1">
      <c r="A5" s="1009" t="s">
        <v>191</v>
      </c>
      <c r="B5" s="1010"/>
      <c r="C5" s="1010"/>
      <c r="D5" s="1010"/>
      <c r="E5" s="1010"/>
      <c r="F5" s="1010"/>
      <c r="G5" s="1010"/>
      <c r="H5" s="1010"/>
      <c r="I5" s="1010"/>
      <c r="J5" s="1011"/>
      <c r="K5" s="381" t="s">
        <v>192</v>
      </c>
      <c r="L5" s="1012" t="s">
        <v>2211</v>
      </c>
      <c r="M5" s="1013"/>
      <c r="N5" s="1014" t="s">
        <v>2212</v>
      </c>
      <c r="O5" s="1015"/>
      <c r="P5" s="382"/>
      <c r="Q5" s="233"/>
      <c r="R5" s="213"/>
      <c r="S5" s="214"/>
      <c r="T5" s="57"/>
      <c r="U5" s="215"/>
      <c r="V5" s="215"/>
      <c r="W5" s="215"/>
      <c r="X5" s="215"/>
      <c r="Y5" s="215"/>
      <c r="Z5" s="215"/>
      <c r="AA5" s="215"/>
      <c r="AB5" s="215"/>
      <c r="AC5" s="215"/>
      <c r="AD5" s="215"/>
      <c r="AE5" s="215"/>
      <c r="AF5" s="216"/>
      <c r="AG5" s="995" t="s">
        <v>2468</v>
      </c>
      <c r="AH5" s="996"/>
      <c r="AI5" s="996"/>
      <c r="AJ5" s="997"/>
      <c r="AK5" s="322">
        <f>COUNTIF(AV:AV,"対象")</f>
        <v>3</v>
      </c>
      <c r="AL5" s="53"/>
      <c r="AM5" s="53"/>
      <c r="AN5" s="53"/>
      <c r="AO5" s="53"/>
      <c r="AP5" s="231"/>
      <c r="AQ5" s="234"/>
      <c r="AR5" s="234"/>
      <c r="AT5" s="231"/>
      <c r="BP5" s="220"/>
      <c r="BQ5"/>
      <c r="BR5"/>
      <c r="BS5"/>
      <c r="BT5"/>
      <c r="BU5" s="559"/>
    </row>
    <row r="6" spans="1:74" ht="35.25" customHeight="1" thickBot="1">
      <c r="A6" s="1023" t="s">
        <v>150</v>
      </c>
      <c r="B6" s="1024"/>
      <c r="C6" s="1024"/>
      <c r="D6" s="1024"/>
      <c r="E6" s="1024"/>
      <c r="F6" s="1024"/>
      <c r="G6" s="1024"/>
      <c r="H6" s="1024"/>
      <c r="I6" s="1024"/>
      <c r="J6" s="1025"/>
      <c r="K6" s="287">
        <f>IFERROR(SUM($AC:$AC),"")</f>
        <v>33063700</v>
      </c>
      <c r="L6" s="982">
        <f>IFERROR(SUMIF($AO$13:$AO$113,"加算対象",$AC13:$AC113),"")</f>
        <v>32628100</v>
      </c>
      <c r="M6" s="984"/>
      <c r="N6" s="982">
        <f>IFERROR(SUMIF($AO$13:$AO$113,"加算対象外",$AC13:$AC113),"")</f>
        <v>435600</v>
      </c>
      <c r="O6" s="984"/>
      <c r="P6" s="232" t="s">
        <v>54</v>
      </c>
      <c r="Q6" s="233"/>
      <c r="R6" s="213"/>
      <c r="S6" s="214"/>
      <c r="T6" s="57"/>
      <c r="U6" s="215"/>
      <c r="V6" s="215"/>
      <c r="W6" s="215"/>
      <c r="X6" s="215"/>
      <c r="Y6" s="215"/>
      <c r="Z6" s="215"/>
      <c r="AA6" s="215"/>
      <c r="AB6" s="215"/>
      <c r="AC6" s="215"/>
      <c r="AD6" s="215"/>
      <c r="AE6" s="215"/>
      <c r="AF6" s="216"/>
      <c r="AG6" s="995" t="s">
        <v>2469</v>
      </c>
      <c r="AH6" s="996"/>
      <c r="AI6" s="996"/>
      <c r="AJ6" s="997"/>
      <c r="AK6" s="557">
        <f>COUNTIF(AI13:AI113,"○")</f>
        <v>3</v>
      </c>
      <c r="AL6" s="231"/>
      <c r="AM6" s="231"/>
      <c r="AN6" s="231"/>
      <c r="AO6" s="231"/>
      <c r="AP6" s="231"/>
      <c r="AQ6" s="234"/>
      <c r="AR6" s="234"/>
      <c r="AT6" s="231"/>
      <c r="AW6" s="236"/>
      <c r="AX6" s="236"/>
      <c r="AY6" s="988"/>
      <c r="AZ6" s="988"/>
      <c r="BA6" s="988"/>
      <c r="BB6" s="988"/>
      <c r="BC6" s="988"/>
      <c r="BD6" s="988"/>
      <c r="BE6" s="988"/>
      <c r="BF6" s="988"/>
      <c r="BG6" s="988"/>
      <c r="BH6" s="988"/>
      <c r="BI6" s="988"/>
      <c r="BJ6" s="988"/>
      <c r="BK6" s="988"/>
      <c r="BL6" s="988"/>
      <c r="BM6" s="988"/>
      <c r="BN6" s="543"/>
      <c r="BO6" s="561"/>
      <c r="BP6" s="988"/>
      <c r="BQ6" s="988"/>
      <c r="BR6" s="988"/>
      <c r="BS6" s="988"/>
      <c r="BT6" s="988"/>
      <c r="BU6" s="988"/>
    </row>
    <row r="7" spans="1:74" ht="35.25" customHeight="1">
      <c r="A7" s="383"/>
      <c r="B7" s="1017" t="s">
        <v>151</v>
      </c>
      <c r="C7" s="1018"/>
      <c r="D7" s="1018"/>
      <c r="E7" s="1018"/>
      <c r="F7" s="1018"/>
      <c r="G7" s="1018"/>
      <c r="H7" s="1018"/>
      <c r="I7" s="1018"/>
      <c r="J7" s="1019"/>
      <c r="K7" s="287">
        <f>IFERROR(SUM($AE:$AE),"")</f>
        <v>12947405</v>
      </c>
      <c r="L7" s="982">
        <f>IFERROR(SUMIF($AO$13:$AO$113,"加算対象",$AE13:$AE113),"")</f>
        <v>12947405</v>
      </c>
      <c r="M7" s="984"/>
      <c r="N7" s="1020"/>
      <c r="O7" s="1021"/>
      <c r="P7" s="232" t="s">
        <v>54</v>
      </c>
      <c r="Q7" s="233"/>
      <c r="R7" s="213"/>
      <c r="S7" s="214"/>
      <c r="T7" s="57"/>
      <c r="U7" s="215"/>
      <c r="V7" s="215"/>
      <c r="W7" s="215"/>
      <c r="X7" s="215"/>
      <c r="Y7" s="215"/>
      <c r="Z7" s="215"/>
      <c r="AA7" s="215"/>
      <c r="AB7" s="215"/>
      <c r="AC7" s="215"/>
      <c r="AD7" s="215"/>
      <c r="AE7" s="215"/>
      <c r="AF7" s="216"/>
      <c r="AG7" s="1022"/>
      <c r="AH7" s="1022"/>
      <c r="AI7" s="1022"/>
      <c r="AJ7" s="1022"/>
      <c r="AK7" s="558"/>
      <c r="AL7" s="231"/>
      <c r="AM7" s="231"/>
      <c r="AN7" s="231"/>
      <c r="AO7" s="231"/>
      <c r="AP7" s="231"/>
      <c r="AQ7" s="234"/>
      <c r="AR7" s="234"/>
      <c r="AT7" s="231"/>
      <c r="AW7" s="236"/>
      <c r="AX7" s="236"/>
      <c r="AY7" s="543"/>
      <c r="AZ7" s="543"/>
      <c r="BA7" s="543"/>
      <c r="BB7" s="543"/>
      <c r="BC7" s="543"/>
      <c r="BD7" s="543"/>
      <c r="BE7" s="543"/>
      <c r="BF7" s="543"/>
      <c r="BG7" s="543"/>
      <c r="BH7" s="543"/>
      <c r="BI7" s="543"/>
      <c r="BJ7" s="543"/>
      <c r="BK7" s="543"/>
      <c r="BL7" s="543"/>
      <c r="BM7" s="543"/>
      <c r="BN7" s="543"/>
      <c r="BO7" s="561"/>
      <c r="BP7" s="543"/>
      <c r="BQ7" s="543"/>
      <c r="BR7" s="543"/>
      <c r="BS7" s="543"/>
      <c r="BT7" s="543"/>
      <c r="BU7" s="561"/>
    </row>
    <row r="8" spans="1:74" ht="35.25" customHeight="1">
      <c r="A8" s="998" t="s">
        <v>2460</v>
      </c>
      <c r="B8" s="999"/>
      <c r="C8" s="999"/>
      <c r="D8" s="999"/>
      <c r="E8" s="999"/>
      <c r="F8" s="999"/>
      <c r="G8" s="999"/>
      <c r="H8" s="999"/>
      <c r="I8" s="999"/>
      <c r="J8" s="1000"/>
      <c r="K8" s="1001">
        <f>SUM(AD13:AD113)</f>
        <v>9174220</v>
      </c>
      <c r="L8" s="1001"/>
      <c r="M8" s="1001"/>
      <c r="N8" s="1001"/>
      <c r="O8" s="1001"/>
      <c r="P8" s="232" t="s">
        <v>54</v>
      </c>
      <c r="Q8" s="233"/>
      <c r="R8" s="213"/>
      <c r="S8" s="214"/>
      <c r="T8" s="57"/>
      <c r="U8" s="215"/>
      <c r="V8" s="215"/>
      <c r="W8" s="215"/>
      <c r="X8" s="215"/>
      <c r="Y8" s="215"/>
      <c r="Z8" s="215"/>
      <c r="AA8" s="215"/>
      <c r="AB8" s="215"/>
      <c r="AC8" s="215"/>
      <c r="AD8" s="215"/>
      <c r="AE8" s="215"/>
      <c r="AF8" s="216"/>
      <c r="AG8" s="512"/>
      <c r="AH8" s="512"/>
      <c r="AI8" s="512"/>
      <c r="AJ8" s="512"/>
      <c r="AK8" s="513"/>
      <c r="AL8" s="231"/>
      <c r="AM8" s="231"/>
      <c r="AN8" s="231"/>
      <c r="AO8" s="231"/>
      <c r="AP8" s="231"/>
      <c r="AQ8" s="234"/>
      <c r="AR8" s="234"/>
      <c r="AT8" s="231"/>
      <c r="AW8" s="236"/>
      <c r="AX8" s="236"/>
      <c r="AY8" s="543"/>
      <c r="AZ8" s="543"/>
      <c r="BA8" s="543"/>
      <c r="BB8" s="543"/>
      <c r="BC8" s="543"/>
      <c r="BD8" s="543"/>
      <c r="BE8" s="543"/>
      <c r="BF8" s="543"/>
      <c r="BG8" s="543"/>
      <c r="BH8" s="543"/>
      <c r="BI8" s="543"/>
      <c r="BJ8" s="543"/>
      <c r="BK8" s="543"/>
      <c r="BL8" s="543"/>
      <c r="BM8" s="543"/>
      <c r="BN8" s="543"/>
      <c r="BO8" s="561"/>
      <c r="BP8" s="543"/>
      <c r="BQ8" s="543"/>
      <c r="BR8" s="543"/>
      <c r="BS8" s="543"/>
      <c r="BT8" s="543"/>
      <c r="BU8" s="561"/>
    </row>
    <row r="9" spans="1:74" ht="35.25" customHeight="1" thickBot="1">
      <c r="A9" s="1016" t="s">
        <v>2467</v>
      </c>
      <c r="B9" s="1016"/>
      <c r="C9" s="1016"/>
      <c r="D9" s="1016"/>
      <c r="E9" s="1016"/>
      <c r="F9" s="1016"/>
      <c r="G9" s="1016"/>
      <c r="H9" s="1016"/>
      <c r="I9" s="1016"/>
      <c r="J9" s="1016"/>
      <c r="K9" s="1016"/>
      <c r="L9" s="1016"/>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978"/>
      <c r="AT9" s="978"/>
      <c r="AU9" s="978"/>
      <c r="AV9" s="978"/>
      <c r="AW9" s="978"/>
      <c r="AX9" s="978"/>
      <c r="AY9" s="978"/>
      <c r="AZ9" s="541"/>
      <c r="BA9" s="978"/>
      <c r="BB9" s="978"/>
      <c r="BC9" s="978"/>
      <c r="BD9" s="978"/>
      <c r="BE9" s="978"/>
      <c r="BF9" s="978"/>
      <c r="BG9" s="978"/>
      <c r="BH9" s="978"/>
      <c r="BI9" s="978"/>
      <c r="BJ9" s="541"/>
      <c r="BK9" s="978"/>
      <c r="BL9" s="978"/>
      <c r="BM9" s="978"/>
      <c r="BN9" s="978"/>
      <c r="BO9" s="978"/>
      <c r="BP9" s="978"/>
      <c r="BQ9"/>
      <c r="BR9"/>
      <c r="BS9"/>
      <c r="BT9"/>
      <c r="BU9" s="559"/>
    </row>
    <row r="10" spans="1:74" s="18" customFormat="1" ht="31.9" customHeight="1" thickBot="1">
      <c r="B10" s="239"/>
      <c r="C10" s="239"/>
      <c r="D10" s="239"/>
      <c r="E10" s="239"/>
      <c r="F10" s="239"/>
      <c r="I10" s="240"/>
      <c r="K10" s="57"/>
      <c r="O10" s="312" t="str">
        <f>IF(D3="", "", IFERROR(IF(COUNTIF(AP13:AP113,"O列に色付け")=COUNTA(O13:O113),"○","×"),""))</f>
        <v>○</v>
      </c>
      <c r="P10" s="214"/>
      <c r="Q10" s="57"/>
      <c r="R10" s="215"/>
      <c r="S10" s="215"/>
      <c r="T10" s="215"/>
      <c r="U10" s="215"/>
      <c r="V10" s="215"/>
      <c r="W10" s="215"/>
      <c r="X10" s="215"/>
      <c r="Y10" s="215"/>
      <c r="Z10" s="215"/>
      <c r="AA10" s="215"/>
      <c r="AB10" s="215"/>
      <c r="AC10" s="241"/>
      <c r="AD10" s="241"/>
      <c r="AE10" s="956" t="str">
        <f>IF(D3="", "", IFERROR(IF(COUNTIF(AQ13:AQ113,"未入力")=0,"○","×"),""))</f>
        <v>○</v>
      </c>
      <c r="AF10" s="957"/>
      <c r="AG10" s="312" t="str">
        <f>IF(D3="", "", IFERROR(IF(COUNTIF(AS:AS,"未入力")=0,"○","×"),""))</f>
        <v>○</v>
      </c>
      <c r="AH10" s="312" t="str">
        <f>IF(D3="", "", IFERROR(IF(COUNTIF(AU:AU,"未入力")=0,"○","×"),""))</f>
        <v>○</v>
      </c>
      <c r="AI10" s="570" t="str">
        <f>IF(D3="","",IF(AK6&gt;=AK5,"○","×"))</f>
        <v>○</v>
      </c>
      <c r="AJ10" s="242" t="str">
        <f>IF(D3="","", IF(COUNTIF(BA:BA,"未入力")=0,"○","×"))</f>
        <v>○</v>
      </c>
      <c r="AK10" s="242" t="str">
        <f>IF(D3="","",IF(BJ13=0,"",IF(COUNTIF(BD13:BD113,"未入力")+COUNTIF(BH13:BH113,"未入力")=0,"○","×")))</f>
        <v>○</v>
      </c>
      <c r="AL10" s="301"/>
      <c r="AM10" s="301"/>
      <c r="AN10" s="52"/>
      <c r="AO10" s="52"/>
      <c r="BB10" s="243"/>
      <c r="BC10" s="243"/>
      <c r="BD10" s="243"/>
      <c r="BE10" s="243"/>
      <c r="BF10" s="243"/>
      <c r="BG10" s="243"/>
      <c r="BH10" s="243"/>
      <c r="BI10" s="243"/>
      <c r="BJ10" s="243"/>
      <c r="BK10" s="579"/>
      <c r="BL10" s="579"/>
      <c r="BM10" s="580"/>
      <c r="BN10" s="580"/>
      <c r="BO10" s="581">
        <f>BO11+BP11</f>
        <v>743702</v>
      </c>
      <c r="BP10" s="579"/>
      <c r="BQ10" s="579"/>
      <c r="BR10" s="579"/>
      <c r="BS10" s="579"/>
      <c r="BT10" s="579"/>
      <c r="BU10" s="581"/>
      <c r="BV10" s="598">
        <f>BU11+BV11</f>
        <v>8992997</v>
      </c>
    </row>
    <row r="11" spans="1:74" ht="53.25" customHeight="1" thickBot="1">
      <c r="A11" s="958"/>
      <c r="B11" s="960" t="s">
        <v>2225</v>
      </c>
      <c r="C11" s="961"/>
      <c r="D11" s="961"/>
      <c r="E11" s="961"/>
      <c r="F11" s="962"/>
      <c r="G11" s="966" t="s">
        <v>32</v>
      </c>
      <c r="H11" s="968" t="s">
        <v>33</v>
      </c>
      <c r="I11" s="968"/>
      <c r="J11" s="969" t="s">
        <v>152</v>
      </c>
      <c r="K11" s="971" t="s">
        <v>35</v>
      </c>
      <c r="L11" s="973" t="s">
        <v>2233</v>
      </c>
      <c r="M11" s="1002" t="s">
        <v>2459</v>
      </c>
      <c r="N11" s="1003"/>
      <c r="O11" s="1004" t="s">
        <v>193</v>
      </c>
      <c r="P11" s="1006" t="s">
        <v>2226</v>
      </c>
      <c r="Q11" s="945" t="s">
        <v>2232</v>
      </c>
      <c r="R11" s="946"/>
      <c r="S11" s="946"/>
      <c r="T11" s="946"/>
      <c r="U11" s="946"/>
      <c r="V11" s="946"/>
      <c r="W11" s="946"/>
      <c r="X11" s="946"/>
      <c r="Y11" s="946"/>
      <c r="Z11" s="946"/>
      <c r="AA11" s="946"/>
      <c r="AB11" s="947"/>
      <c r="AC11" s="951" t="s">
        <v>2228</v>
      </c>
      <c r="AD11" s="953" t="s">
        <v>2460</v>
      </c>
      <c r="AE11" s="955" t="s">
        <v>154</v>
      </c>
      <c r="AF11" s="943"/>
      <c r="AG11" s="544" t="s">
        <v>155</v>
      </c>
      <c r="AH11" s="544" t="s">
        <v>156</v>
      </c>
      <c r="AI11" s="544" t="s">
        <v>157</v>
      </c>
      <c r="AJ11" s="282" t="s">
        <v>158</v>
      </c>
      <c r="AK11" s="284" t="s">
        <v>159</v>
      </c>
      <c r="AL11" s="302"/>
      <c r="AM11" s="302"/>
      <c r="AN11" s="244"/>
      <c r="AO11" s="553" t="s">
        <v>160</v>
      </c>
      <c r="AP11" s="554"/>
      <c r="AS11" s="27"/>
      <c r="AT11" s="27"/>
      <c r="AU11" s="27"/>
      <c r="AV11" s="27"/>
      <c r="AW11" s="27"/>
      <c r="AX11" s="27"/>
      <c r="AY11" s="27"/>
      <c r="AZ11" s="27"/>
      <c r="BA11" s="27"/>
      <c r="BB11" s="27"/>
      <c r="BC11" s="27"/>
      <c r="BD11" s="27"/>
      <c r="BE11" s="27"/>
      <c r="BF11" s="27"/>
      <c r="BG11" s="27"/>
      <c r="BH11" s="27"/>
      <c r="BI11" s="27"/>
      <c r="BJ11" s="27"/>
      <c r="BK11" s="27"/>
      <c r="BL11" s="27"/>
      <c r="BM11" s="27"/>
      <c r="BN11" s="27"/>
      <c r="BO11" s="582">
        <f>SUM(BO13:BO113)/2</f>
        <v>743702</v>
      </c>
      <c r="BP11" s="27">
        <f>SUM(BP13:BP113)/2</f>
        <v>0</v>
      </c>
      <c r="BQ11" s="1008" t="s">
        <v>2520</v>
      </c>
      <c r="BR11" s="1008"/>
      <c r="BS11" s="583"/>
      <c r="BT11" s="584"/>
      <c r="BU11" s="582">
        <f>SUM(BU13:BU114)/2</f>
        <v>8992997</v>
      </c>
      <c r="BV11" s="27">
        <f>SUM(BV13:BV114)/2</f>
        <v>0</v>
      </c>
    </row>
    <row r="12" spans="1:74" ht="159.75" customHeight="1" thickBot="1">
      <c r="A12" s="959"/>
      <c r="B12" s="963"/>
      <c r="C12" s="964"/>
      <c r="D12" s="964"/>
      <c r="E12" s="964"/>
      <c r="F12" s="965"/>
      <c r="G12" s="967"/>
      <c r="H12" s="246" t="s">
        <v>161</v>
      </c>
      <c r="I12" s="246" t="s">
        <v>162</v>
      </c>
      <c r="J12" s="970"/>
      <c r="K12" s="972"/>
      <c r="L12" s="974"/>
      <c r="M12" s="502" t="s">
        <v>2454</v>
      </c>
      <c r="N12" s="506" t="s">
        <v>2455</v>
      </c>
      <c r="O12" s="1005"/>
      <c r="P12" s="1007"/>
      <c r="Q12" s="948"/>
      <c r="R12" s="949"/>
      <c r="S12" s="949"/>
      <c r="T12" s="949"/>
      <c r="U12" s="949"/>
      <c r="V12" s="949"/>
      <c r="W12" s="949"/>
      <c r="X12" s="949"/>
      <c r="Y12" s="949"/>
      <c r="Z12" s="949"/>
      <c r="AA12" s="949"/>
      <c r="AB12" s="950"/>
      <c r="AC12" s="952"/>
      <c r="AD12" s="954"/>
      <c r="AE12" s="247" t="s">
        <v>163</v>
      </c>
      <c r="AF12" s="248" t="s">
        <v>2465</v>
      </c>
      <c r="AG12" s="249" t="s">
        <v>164</v>
      </c>
      <c r="AH12" s="250" t="s">
        <v>165</v>
      </c>
      <c r="AI12" s="250" t="s">
        <v>2482</v>
      </c>
      <c r="AJ12" s="283" t="s">
        <v>2229</v>
      </c>
      <c r="AK12" s="285" t="s">
        <v>2483</v>
      </c>
      <c r="AL12" s="939" t="s">
        <v>166</v>
      </c>
      <c r="AM12" s="940"/>
      <c r="AN12" s="323"/>
      <c r="AO12" s="251" t="s">
        <v>194</v>
      </c>
      <c r="AP12" s="251" t="s">
        <v>168</v>
      </c>
      <c r="AQ12" s="252" t="s">
        <v>169</v>
      </c>
      <c r="AR12" s="251" t="s">
        <v>195</v>
      </c>
      <c r="AS12" s="251" t="s">
        <v>170</v>
      </c>
      <c r="AT12" s="251" t="s">
        <v>171</v>
      </c>
      <c r="AU12" s="251" t="s">
        <v>172</v>
      </c>
      <c r="AV12" s="253" t="s">
        <v>2187</v>
      </c>
      <c r="AW12" s="253" t="s">
        <v>2200</v>
      </c>
      <c r="AX12" s="251" t="s">
        <v>174</v>
      </c>
      <c r="AY12" s="253" t="s">
        <v>175</v>
      </c>
      <c r="AZ12" s="251" t="s">
        <v>176</v>
      </c>
      <c r="BA12" s="253" t="s">
        <v>177</v>
      </c>
      <c r="BB12" s="253" t="s">
        <v>178</v>
      </c>
      <c r="BC12" s="251" t="s">
        <v>179</v>
      </c>
      <c r="BD12" s="253" t="s">
        <v>180</v>
      </c>
      <c r="BE12" s="253" t="s">
        <v>2192</v>
      </c>
      <c r="BF12" s="253" t="s">
        <v>2210</v>
      </c>
      <c r="BG12" s="253" t="s">
        <v>2198</v>
      </c>
      <c r="BH12" s="253" t="s">
        <v>2206</v>
      </c>
      <c r="BI12" s="254" t="s">
        <v>181</v>
      </c>
      <c r="BJ12"/>
      <c r="BK12" s="27"/>
      <c r="BL12" s="585" t="s">
        <v>2464</v>
      </c>
      <c r="BM12" s="585" t="s">
        <v>2472</v>
      </c>
      <c r="BN12" s="585" t="s">
        <v>2485</v>
      </c>
      <c r="BO12" s="586" t="s">
        <v>2473</v>
      </c>
      <c r="BP12" s="585" t="s">
        <v>2485</v>
      </c>
      <c r="BQ12" s="585" t="s">
        <v>2505</v>
      </c>
      <c r="BR12" s="585" t="s">
        <v>2506</v>
      </c>
      <c r="BS12" s="585" t="s">
        <v>2507</v>
      </c>
      <c r="BT12" s="585" t="s">
        <v>2510</v>
      </c>
      <c r="BU12" s="586" t="s">
        <v>2518</v>
      </c>
      <c r="BV12" s="587" t="s">
        <v>2519</v>
      </c>
    </row>
    <row r="13" spans="1:74" ht="109.9" customHeight="1" thickBot="1">
      <c r="A13" s="303">
        <v>1</v>
      </c>
      <c r="B13" s="933" t="str">
        <f>IF(基本情報入力シート!B35="","",基本情報入力シート!B35)</f>
        <v>1234567899</v>
      </c>
      <c r="C13" s="934"/>
      <c r="D13" s="934"/>
      <c r="E13" s="934"/>
      <c r="F13" s="935"/>
      <c r="G13" s="304" t="str">
        <f>IF(基本情報入力シート!L35="", "", 基本情報入力シート!L35)</f>
        <v>東京都</v>
      </c>
      <c r="H13" s="304" t="str">
        <f>IF(基本情報入力シート!Q35="", "", 基本情報入力シート!Q35)</f>
        <v>東京都</v>
      </c>
      <c r="I13" s="304" t="str">
        <f>IF(基本情報入力シート!V35="", "", 基本情報入力シート!V35)</f>
        <v>三鷹市</v>
      </c>
      <c r="J13" s="304" t="str">
        <f>IF(基本情報入力シート!W35="", "", 基本情報入力シート!W35)</f>
        <v>障害福祉事業所名称０１</v>
      </c>
      <c r="K13" s="304" t="str">
        <f>IF(基本情報入力シート!Z35="", "", 基本情報入力シート!Z35)</f>
        <v>居宅介護</v>
      </c>
      <c r="L13" s="549">
        <f>IF(基本情報入力シート!AF35=0, "",基本情報入力シート!AF35)</f>
        <v>337280</v>
      </c>
      <c r="M13" s="516" t="str">
        <f>IF('別紙様式2-2（個票（４、５月））'!M13="","",'別紙様式2-2（個票（４、５月））'!M13)</f>
        <v>処遇改善加算Ⅱ</v>
      </c>
      <c r="N13" s="515">
        <f>IF('別紙様式2-2（個票（４、５月））'!N13="","",'別紙様式2-2（個票（４、５月））'!N13)</f>
        <v>0.40200000000000002</v>
      </c>
      <c r="O13" s="286" t="s">
        <v>2215</v>
      </c>
      <c r="P13" s="546">
        <f>IFERROR(VLOOKUP(K13,【参考】数式用!$A$2:$M$57,MATCH(O13,【参考】数式用!$G$3:$M$3,0)+6,0),"")</f>
        <v>0.45600000000000002</v>
      </c>
      <c r="Q13" s="310" t="s">
        <v>118</v>
      </c>
      <c r="R13" s="308">
        <v>8</v>
      </c>
      <c r="S13" s="309" t="s">
        <v>183</v>
      </c>
      <c r="T13" s="308">
        <v>6</v>
      </c>
      <c r="U13" s="309" t="s">
        <v>184</v>
      </c>
      <c r="V13" s="308">
        <v>9</v>
      </c>
      <c r="W13" s="309" t="s">
        <v>183</v>
      </c>
      <c r="X13" s="308">
        <v>3</v>
      </c>
      <c r="Y13" s="309" t="s">
        <v>185</v>
      </c>
      <c r="Z13" s="309" t="s">
        <v>186</v>
      </c>
      <c r="AA13" s="309">
        <f>IF(R13&gt;=1,(V13*12+X13)-(R13*12+T13)+1,"")</f>
        <v>10</v>
      </c>
      <c r="AB13" s="305" t="s">
        <v>187</v>
      </c>
      <c r="AC13" s="306">
        <f>IFERROR(ROUNDDOWN(ROUND(L13*P13,0),0)*AA13,"")</f>
        <v>1538000</v>
      </c>
      <c r="AD13" s="507">
        <f>IFERROR(ROUNDDOWN(ROUND((L13*(P13-N13)),0),0)*AA13,"")</f>
        <v>182130</v>
      </c>
      <c r="AE13" s="307">
        <f>IFERROR(ROUNDDOWN(ROUNDDOWN(ROUND(L13*VLOOKUP(K13,【参考】数式用!$A$2:$M$57,MATCH("処遇改善加算Ⅳ",【参考】数式用!$G$3:$M$3,0)+6,0),0),0)*AA13*0.5,0), "")</f>
        <v>509295</v>
      </c>
      <c r="AF13" s="318" t="s">
        <v>2209</v>
      </c>
      <c r="AG13" s="319" t="s">
        <v>2209</v>
      </c>
      <c r="AH13" s="319" t="s">
        <v>2209</v>
      </c>
      <c r="AI13" s="318" t="s">
        <v>2209</v>
      </c>
      <c r="AJ13" s="320" t="s">
        <v>2357</v>
      </c>
      <c r="AK13" s="326" t="s">
        <v>2462</v>
      </c>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48" t="str">
        <f>IFERROR(VLOOKUP(K13,【参考】数式用!$A$2:$N$57,14,FALSE),"")</f>
        <v>加算対象</v>
      </c>
      <c r="AP13" s="548" t="str">
        <f>IF(AND(K13&lt;&gt;""),"O列に色付け","")</f>
        <v>O列に色付け</v>
      </c>
      <c r="AQ13" s="552" t="str">
        <f t="shared" ref="AQ13:AQ44" si="1">IF(AND(AE13&lt;&gt;0,AE13&lt;&gt;"",AO13="加算対象"),IF(AF13="○","入力済","未入力"),"")</f>
        <v>入力済</v>
      </c>
      <c r="AR13" s="552" t="str">
        <f>"キャリアパス要件Ⅰ・Ⅱ_"&amp;AO13</f>
        <v>キャリアパス要件Ⅰ・Ⅱ_加算対象</v>
      </c>
      <c r="AS13" s="531" t="str">
        <f t="shared" ref="AS13:AS44" si="2">IF(AND(O13&lt;&gt;"", AG13=""), "未入力", "入力済")</f>
        <v>入力済</v>
      </c>
      <c r="AT13" s="548" t="str">
        <f>IF(AND(O13&lt;&gt;"", O13&lt;&gt;"処遇改善加算Ⅳ",AO13="加算対象"),"AH列に色付け","")</f>
        <v>AH列に色付け</v>
      </c>
      <c r="AU13" s="531" t="str">
        <f t="shared" ref="AU13:AU44" si="3">IF(AND(O13&lt;&gt;"", O13&lt;&gt;"処遇改善加算Ⅳ",O13&lt;&gt;"処遇改善加算", AH13=""), "未入力", "入力済")</f>
        <v>入力済</v>
      </c>
      <c r="AV13" s="531" t="str">
        <f t="shared" ref="AV13:AV44" si="4">IF(OR(ISNUMBER(SEARCH("処遇改善加算Ⅰ",O13)),ISNUMBER(SEARCH("処遇改善加算Ⅱ",O13))),"対象","")</f>
        <v>対象</v>
      </c>
      <c r="AW13" s="531" t="str">
        <f>IF(AND(O13&lt;&gt;"", O13&lt;&gt;"処遇改善加算Ⅲ", O13&lt;&gt;"処遇改善加算Ⅳ",O13&lt;&gt;"処遇改善加算"),"対象", "")</f>
        <v>対象</v>
      </c>
      <c r="AX13" s="548" t="str">
        <f t="shared" ref="AX13:AX44" si="5">IF(AND(AW13=1, OR(AI13=0,AI13=""),AO13="加算対象"),"AH列に色付け","")</f>
        <v/>
      </c>
      <c r="AY13" s="531" t="str">
        <f>IFERROR(VLOOKUP(K13,【参考】数式用!$AR$3:$AS$49, 2, FALSE), "")</f>
        <v>居宅介護Ⅴ</v>
      </c>
      <c r="AZ13" s="548" t="str">
        <f>IF(AND(AO13="加算対象",OR(O13="処遇改善加算Ⅰイ",O13="処遇改善加算Ⅰロ")),"AJ列に色付け","")</f>
        <v>AJ列に色付け</v>
      </c>
      <c r="BA13" s="551" t="str">
        <f t="shared" ref="BA13:BA44" si="6">IF(AND(OR(O13="処遇改善加算Ⅰイ",O13="処遇改善加算Ⅰロ"), AJ13=""), "未入力","入力済")</f>
        <v>入力済</v>
      </c>
      <c r="BB13" s="531" t="str">
        <f>IFERROR(VLOOKUP(K13,【参考】数式用!$AX$3:$AY$59, 2, FALSE), "")</f>
        <v>居宅介護R8</v>
      </c>
      <c r="BC13" s="548" t="str">
        <f>IF(OR(COUNTIF(AG13:AI13,"*令和８年度特例要件を*")&gt;0,ISNUMBER(SEARCH("処遇改善加算Ⅰロ",O13)),ISNUMBER(SEARCH("処遇改善加算Ⅱロ",O13)),AO13="加算対象外"),"AK列に色付け","")</f>
        <v>AK列に色付け</v>
      </c>
      <c r="BD13" s="551" t="str">
        <f t="shared" ref="BD13:BD44" si="7">IF(AND(COUNTIF(AG13:AI13,"*令和８年度特例要件を*")&gt;0,AK13=""), "未入力","入力済")</f>
        <v>入力済</v>
      </c>
      <c r="BE13" s="551" t="str">
        <f>IF(OR(ISNUMBER(SEARCH("処遇改善加算Ⅰロ",O13)),ISNUMBER(SEARCH("処遇改善加算Ⅱロ",O13))),"",IF(AND(BC13="AK列に色付け",OR(AG13="○",AG13="誓約"),AH13="○",AI13&gt;=1),"AK列色消し",""))</f>
        <v/>
      </c>
      <c r="BF13" s="551" t="str">
        <f>IF(AND(O13="処遇改善加算",OR(AG13="○",AG13="誓約")),"AK列色消し","")</f>
        <v/>
      </c>
      <c r="BG13" s="551" t="str">
        <f>IF(OR(TRIM(BC13)="",BE13="AK列色消し",BF13="AK列色消し"),"","入力必要")</f>
        <v>入力必要</v>
      </c>
      <c r="BH13" s="551" t="str">
        <f t="shared" ref="BH13:BH44" si="8">IF(AND(BE13="",BG13="入力必要"),IF(AK13="","未入力","入力済"),"")</f>
        <v>入力済</v>
      </c>
      <c r="BI13" s="551" t="str">
        <f t="shared" ref="BI13:BI44" si="9">G13</f>
        <v>東京都</v>
      </c>
      <c r="BJ13" s="27">
        <f>IF(COUNTIF(BG:BG,"*入力必要*"),1,0)</f>
        <v>1</v>
      </c>
      <c r="BK13" s="27" t="str">
        <f>IF(D3="", "", IF(SUM(AK6:AK7)&gt;=AK5,"○","×"))</f>
        <v>○</v>
      </c>
      <c r="BL13" s="587" t="str">
        <f>IF(AND(K13&lt;&gt;"",K13&lt;&gt;"計画相談支援",K13&lt;&gt;"地域相談支援（地域定着支援）",K13&lt;&gt;"地域相談支援（地域移行支援）",K13&lt;&gt;"障害児相談支援"),"O列に色付け","")</f>
        <v>O列に色付け</v>
      </c>
      <c r="BM13" s="587" t="str">
        <f>IF(OR(O13="処遇改善加算Ⅰロ",O13="処遇改善加算Ⅱロ"),"対象","")</f>
        <v>対象</v>
      </c>
      <c r="BN13" s="587"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対象</v>
      </c>
      <c r="BO13" s="588">
        <f>IF(BN13="対象",ROUNDDOWN(L13*VLOOKUP(K13,【参考】数式用!$A$4:$J$42,10,FALSE)*AA13,0),"")</f>
        <v>1487404</v>
      </c>
      <c r="BP13" s="587" t="str">
        <f>IF(BN13="特例",AC13,"")</f>
        <v/>
      </c>
      <c r="BQ13" s="587" t="str">
        <f>IF(O13="処遇改善加算","対象","")</f>
        <v/>
      </c>
      <c r="BR13" s="589" t="str">
        <f>IF(BQ13="","",IF(OR(AG13="○",AG13="誓約"),"対象",""))</f>
        <v/>
      </c>
      <c r="BS13" s="589" t="str">
        <f>IF(BM13="対象","",IF(COUNTIF(AF13:AH13,"*令和８年度特例要件を*")&gt;0,"特例要件",""))</f>
        <v/>
      </c>
      <c r="BT13" s="587"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588" t="str">
        <f>IF(BT13="Ⅱロ有り",ROUNDDOWN(L13*VLOOKUP(K13,【参考】数式用!$A$4:$J$42,10,FALSE)*AA13,0),"")</f>
        <v/>
      </c>
      <c r="BV13" s="587" t="str">
        <f>IF(BT13="Ⅱロなし",ROUNDDOWN(L13*VLOOKUP(K13,【参考】数式用!$A$4:$J$42,8,FALSE)*AA13,0),"")</f>
        <v/>
      </c>
    </row>
    <row r="14" spans="1:74" s="257" customFormat="1" ht="109.9" customHeight="1" thickBot="1">
      <c r="A14" s="303">
        <v>2</v>
      </c>
      <c r="B14" s="933" t="str">
        <f>IF(基本情報入力シート!B36="","",基本情報入力シート!B36)</f>
        <v>1234567900</v>
      </c>
      <c r="C14" s="934"/>
      <c r="D14" s="934"/>
      <c r="E14" s="934"/>
      <c r="F14" s="935"/>
      <c r="G14" s="304" t="str">
        <f>IF(基本情報入力シート!L36="", "", 基本情報入力シート!L36)</f>
        <v>東京都</v>
      </c>
      <c r="H14" s="304" t="str">
        <f>IF(基本情報入力シート!Q36="", "", 基本情報入力シート!Q36)</f>
        <v>東京都</v>
      </c>
      <c r="I14" s="304" t="str">
        <f>IF(基本情報入力シート!V36="", "", 基本情報入力シート!V36)</f>
        <v>府中市</v>
      </c>
      <c r="J14" s="304" t="str">
        <f>IF(基本情報入力シート!W36="", "", 基本情報入力シート!W36)</f>
        <v>障害福祉事業所名称０２</v>
      </c>
      <c r="K14" s="304" t="str">
        <f>IF(基本情報入力シート!Z36="", "", 基本情報入力シート!Z36)</f>
        <v>生活介護</v>
      </c>
      <c r="L14" s="549">
        <f>IF(基本情報入力シート!AF36=0, "",基本情報入力シート!AF36)</f>
        <v>4365540</v>
      </c>
      <c r="M14" s="516" t="str">
        <f>IF('別紙様式2-2（個票（４、５月））'!M14="","",'別紙様式2-2（個票（４、５月））'!M14)</f>
        <v>処遇改善加算Ⅳ</v>
      </c>
      <c r="N14" s="515">
        <f>IF('別紙様式2-2（個票（４、５月））'!N14="","",'別紙様式2-2（個票（４、５月））'!N14)</f>
        <v>5.4999999999999993E-2</v>
      </c>
      <c r="O14" s="286" t="s">
        <v>196</v>
      </c>
      <c r="P14" s="546">
        <f>IFERROR(VLOOKUP(K14,【参考】数式用!$A$2:$M$57,MATCH(O14,【参考】数式用!$G$3:$M$3,0)+6,0),"")</f>
        <v>7.9000000000000001E-2</v>
      </c>
      <c r="Q14" s="310" t="s">
        <v>118</v>
      </c>
      <c r="R14" s="308">
        <v>8</v>
      </c>
      <c r="S14" s="309" t="s">
        <v>183</v>
      </c>
      <c r="T14" s="308">
        <v>6</v>
      </c>
      <c r="U14" s="309" t="s">
        <v>184</v>
      </c>
      <c r="V14" s="308">
        <v>9</v>
      </c>
      <c r="W14" s="309" t="s">
        <v>183</v>
      </c>
      <c r="X14" s="308">
        <v>3</v>
      </c>
      <c r="Y14" s="309" t="s">
        <v>185</v>
      </c>
      <c r="Z14" s="309" t="s">
        <v>186</v>
      </c>
      <c r="AA14" s="309">
        <f>IF(R14&gt;=1,(V14*12+X14)-(R14*12+T14)+1,"")</f>
        <v>10</v>
      </c>
      <c r="AB14" s="305" t="s">
        <v>187</v>
      </c>
      <c r="AC14" s="306">
        <f t="shared" ref="AC14:AC77" si="10">IFERROR(ROUNDDOWN(ROUND(L14*P14,0),0)*AA14,"")</f>
        <v>3448780</v>
      </c>
      <c r="AD14" s="507">
        <f t="shared" ref="AD14:AD77" si="11">IFERROR(ROUNDDOWN(ROUND((L14*(P14-N14)),0),0)*AA14,"")</f>
        <v>1047730</v>
      </c>
      <c r="AE14" s="307">
        <f>IFERROR(ROUNDDOWN(ROUNDDOWN(ROUND(L14*VLOOKUP(K14,【参考】数式用!$A$2:$M$57,MATCH("処遇改善加算Ⅳ",【参考】数式用!$G$3:$M$3,0)+6,0),0),0)*AA14*0.5,0), "")</f>
        <v>1462455</v>
      </c>
      <c r="AF14" s="318" t="s">
        <v>2209</v>
      </c>
      <c r="AG14" s="319" t="s">
        <v>2209</v>
      </c>
      <c r="AH14" s="319" t="s">
        <v>2209</v>
      </c>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48" t="str">
        <f>IFERROR(VLOOKUP(K14,【参考】数式用!$A$2:$N$57,14,FALSE),"")</f>
        <v>加算対象</v>
      </c>
      <c r="AP14" s="548" t="str">
        <f t="shared" ref="AP14:AP77" si="13">IF(AND(K14&lt;&gt;""),"O列に色付け","")</f>
        <v>O列に色付け</v>
      </c>
      <c r="AQ14" s="552" t="str">
        <f t="shared" si="1"/>
        <v>入力済</v>
      </c>
      <c r="AR14" s="552" t="str">
        <f>"キャリアパス要件Ⅰ・Ⅱ_"&amp;AO14</f>
        <v>キャリアパス要件Ⅰ・Ⅱ_加算対象</v>
      </c>
      <c r="AS14" s="531" t="str">
        <f t="shared" si="2"/>
        <v>入力済</v>
      </c>
      <c r="AT14" s="548" t="str">
        <f t="shared" ref="AT14:AT77" si="14">IF(AND(O14&lt;&gt;"", O14&lt;&gt;"処遇改善加算Ⅳ",AO14="加算対象"),"AH列に色付け","")</f>
        <v>AH列に色付け</v>
      </c>
      <c r="AU14" s="531" t="str">
        <f t="shared" si="3"/>
        <v>入力済</v>
      </c>
      <c r="AV14" s="531" t="str">
        <f t="shared" si="4"/>
        <v/>
      </c>
      <c r="AW14" s="531" t="str">
        <f t="shared" ref="AW14:AW77" si="15">IF(AND(O14&lt;&gt;"", O14&lt;&gt;"処遇改善加算Ⅲ", O14&lt;&gt;"処遇改善加算Ⅳ",O14&lt;&gt;"処遇改善加算"),"対象", "")</f>
        <v/>
      </c>
      <c r="AX14" s="548" t="str">
        <f t="shared" si="5"/>
        <v/>
      </c>
      <c r="AY14" s="531" t="str">
        <f>IFERROR(VLOOKUP(K14,【参考】数式用!$AR$3:$AS$49, 2, FALSE), "")</f>
        <v>生活介護V</v>
      </c>
      <c r="AZ14" s="548" t="str">
        <f t="shared" ref="AZ14:AZ77" si="16">IF(AND(AO14="加算対象",OR(O14="処遇改善加算Ⅰイ",O14="処遇改善加算Ⅰロ")),"AJ列に色付け","")</f>
        <v/>
      </c>
      <c r="BA14" s="551" t="str">
        <f t="shared" si="6"/>
        <v>入力済</v>
      </c>
      <c r="BB14" s="531" t="str">
        <f>IFERROR(VLOOKUP(K14,【参考】数式用!$AX$3:$AY$59, 2, FALSE), "")</f>
        <v>生活介護R8</v>
      </c>
      <c r="BC14" s="548" t="str">
        <f t="shared" ref="BC14:BC77" si="17">IF(OR(COUNTIF(AG14:AI14,"*令和８年度特例要件を*")&gt;0,ISNUMBER(SEARCH("処遇改善加算Ⅰロ",O14)),ISNUMBER(SEARCH("処遇改善加算Ⅱロ",O14)),AO14="加算対象外"),"AK列に色付け","")</f>
        <v/>
      </c>
      <c r="BD14" s="551" t="str">
        <f t="shared" si="7"/>
        <v>入力済</v>
      </c>
      <c r="BE14" s="551" t="str">
        <f t="shared" ref="BE14:BE77" si="18">IF(OR(ISNUMBER(SEARCH("処遇改善加算Ⅰロ",O14)),ISNUMBER(SEARCH("処遇改善加算Ⅱロ",O14))),"",IF(AND(BC14="AK列に色付け",OR(AG14="○",AG14="誓約"),AH14="○",AI14&gt;=1),"AK列色消し",""))</f>
        <v/>
      </c>
      <c r="BF14" s="551" t="str">
        <f t="shared" ref="BF14:BF77" si="19">IF(AND(O14="処遇改善加算",OR(AG14="○",AG14="誓約")),"AK列色消し","")</f>
        <v/>
      </c>
      <c r="BG14" s="551" t="str">
        <f t="shared" ref="BG14:BG77" si="20">IF(OR(TRIM(BC14)="",BE14="AK列色消し",BF14="AK列色消し"),"","入力必要")</f>
        <v/>
      </c>
      <c r="BH14" s="551" t="str">
        <f t="shared" si="8"/>
        <v/>
      </c>
      <c r="BI14" s="551" t="str">
        <f t="shared" si="9"/>
        <v>東京都</v>
      </c>
      <c r="BJ14" s="219"/>
      <c r="BK14" s="27"/>
      <c r="BL14" s="587" t="str">
        <f t="shared" ref="BL14:BL77" si="21">IF(AND(K14&lt;&gt;"",K14&lt;&gt;"計画相談支援",K14&lt;&gt;"地域相談支援（地域定着支援）",K14&lt;&gt;"地域相談支援（地域移行支援）",K14&lt;&gt;"障害児相談支援"),"O列に色付け","")</f>
        <v>O列に色付け</v>
      </c>
      <c r="BM14" s="587" t="str">
        <f t="shared" ref="BM14:BM77" si="22">IF(OR(O14="処遇改善加算Ⅰロ",O14="処遇改善加算Ⅱロ"),"対象","")</f>
        <v/>
      </c>
      <c r="BN14" s="587"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588" t="str">
        <f>IF(BM14="","",ROUNDDOWN(L14*VLOOKUP(K14,【参考】数式用!$A$4:$J$42,10,FALSE)*AA14,0))</f>
        <v/>
      </c>
      <c r="BP14" s="587" t="str">
        <f t="shared" ref="BP14:BP77" si="24">IF(BN14="特例",AC14,"")</f>
        <v/>
      </c>
      <c r="BQ14" s="587" t="str">
        <f t="shared" ref="BQ14:BQ77" si="25">IF(O14="処遇改善加算","対象","")</f>
        <v/>
      </c>
      <c r="BR14" s="589" t="str">
        <f t="shared" ref="BR14:BR77" si="26">IF(BQ14="","",IF(OR(AG14="○",AG14="誓約"),"対象",""))</f>
        <v/>
      </c>
      <c r="BS14" s="589" t="str">
        <f t="shared" ref="BS14:BS77" si="27">IF(BM14="対象","",IF(COUNTIF(AF14:AH14,"*令和８年度特例要件を*")&gt;0,"特例要件",""))</f>
        <v/>
      </c>
      <c r="BT14" s="587"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588" t="str">
        <f>IF(BT14="Ⅱロ有り",ROUNDDOWN(L14*VLOOKUP(K14,【参考】数式用!$A$4:$J$42,10,FALSE)*AA14,0),"")</f>
        <v/>
      </c>
      <c r="BV14" s="587" t="str">
        <f>IF(BT14="Ⅱロなし",ROUNDDOWN(L14*VLOOKUP(K14,【参考】数式用!$A$4:$J$42,8,FALSE)*AA14,0),"")</f>
        <v/>
      </c>
    </row>
    <row r="15" spans="1:74" s="257" customFormat="1" ht="109.9" customHeight="1" thickBot="1">
      <c r="A15" s="303">
        <v>3</v>
      </c>
      <c r="B15" s="933" t="str">
        <f>IF(基本情報入力シート!B37="","",基本情報入力シート!B37)</f>
        <v>1234567901</v>
      </c>
      <c r="C15" s="934"/>
      <c r="D15" s="934"/>
      <c r="E15" s="934"/>
      <c r="F15" s="935"/>
      <c r="G15" s="304" t="str">
        <f>IF(基本情報入力シート!L37="", "", 基本情報入力シート!L37)</f>
        <v>東京都</v>
      </c>
      <c r="H15" s="304" t="str">
        <f>IF(基本情報入力シート!Q37="", "", 基本情報入力シート!Q37)</f>
        <v>東京都</v>
      </c>
      <c r="I15" s="304" t="str">
        <f>IF(基本情報入力シート!V37="", "", 基本情報入力シート!V37)</f>
        <v>立川市</v>
      </c>
      <c r="J15" s="304" t="str">
        <f>IF(基本情報入力シート!W37="", "", 基本情報入力シート!W37)</f>
        <v>障害福祉事業所名称０３</v>
      </c>
      <c r="K15" s="304" t="str">
        <f>IF(基本情報入力シート!Z37="", "", 基本情報入力シート!Z37)</f>
        <v>就労継続支援Ｂ型</v>
      </c>
      <c r="L15" s="549">
        <f>IF(基本情報入力シート!AF37=0, "",基本情報入力シート!AF37)</f>
        <v>2121150</v>
      </c>
      <c r="M15" s="516" t="str">
        <f>IF('別紙様式2-2（個票（４、５月））'!M15="","",'別紙様式2-2（個票（４、５月））'!M15)</f>
        <v>処遇改善加算Ⅰ</v>
      </c>
      <c r="N15" s="515">
        <f>IF('別紙様式2-2（個票（４、５月））'!N15="","",'別紙様式2-2（個票（４、５月））'!N15)</f>
        <v>9.2999999999999999E-2</v>
      </c>
      <c r="O15" s="286" t="s">
        <v>2414</v>
      </c>
      <c r="P15" s="546">
        <f>IFERROR(VLOOKUP(K15,【参考】数式用!$A$2:$M$57,MATCH(O15,【参考】数式用!$G$3:$M$3,0)+6,0),"")</f>
        <v>0.105</v>
      </c>
      <c r="Q15" s="310" t="s">
        <v>118</v>
      </c>
      <c r="R15" s="308">
        <v>8</v>
      </c>
      <c r="S15" s="309" t="s">
        <v>183</v>
      </c>
      <c r="T15" s="308">
        <v>6</v>
      </c>
      <c r="U15" s="309" t="s">
        <v>184</v>
      </c>
      <c r="V15" s="308">
        <v>9</v>
      </c>
      <c r="W15" s="309" t="s">
        <v>183</v>
      </c>
      <c r="X15" s="308">
        <v>3</v>
      </c>
      <c r="Y15" s="309" t="s">
        <v>185</v>
      </c>
      <c r="Z15" s="309" t="s">
        <v>186</v>
      </c>
      <c r="AA15" s="309">
        <f t="shared" ref="AA15:AA79" si="29">IF(R15&gt;=1,(V15*12+X15)-(R15*12+T15)+1,"")</f>
        <v>10</v>
      </c>
      <c r="AB15" s="305" t="s">
        <v>187</v>
      </c>
      <c r="AC15" s="306">
        <f t="shared" si="10"/>
        <v>2227210</v>
      </c>
      <c r="AD15" s="507">
        <f t="shared" si="11"/>
        <v>254540</v>
      </c>
      <c r="AE15" s="307">
        <f>IFERROR(ROUNDDOWN(ROUNDDOWN(ROUND(L15*VLOOKUP(K15,【参考】数式用!$A$2:$M$57,MATCH("処遇改善加算Ⅳ",【参考】数式用!$G$3:$M$3,0)+6,0),0),0)*AA15*0.5,0), "")</f>
        <v>784825</v>
      </c>
      <c r="AF15" s="318" t="s">
        <v>2209</v>
      </c>
      <c r="AG15" s="319" t="s">
        <v>2209</v>
      </c>
      <c r="AH15" s="319" t="s">
        <v>2209</v>
      </c>
      <c r="AI15" s="318" t="s">
        <v>2209</v>
      </c>
      <c r="AJ15" s="320" t="s">
        <v>2360</v>
      </c>
      <c r="AK15" s="326"/>
      <c r="AL15" s="324" t="str">
        <f t="shared" si="0"/>
        <v/>
      </c>
      <c r="AM15" s="325" t="str">
        <f t="shared" si="12"/>
        <v/>
      </c>
      <c r="AN15" s="255"/>
      <c r="AO15" s="548" t="str">
        <f>IFERROR(VLOOKUP(K15,【参考】数式用!$A$2:$N$57,14,FALSE),"")</f>
        <v>加算対象</v>
      </c>
      <c r="AP15" s="548" t="str">
        <f t="shared" si="13"/>
        <v>O列に色付け</v>
      </c>
      <c r="AQ15" s="552" t="str">
        <f t="shared" si="1"/>
        <v>入力済</v>
      </c>
      <c r="AR15" s="552" t="str">
        <f t="shared" ref="AR15:AR78" si="30">"キャリアパス要件Ⅰ・Ⅱ_"&amp;AO15</f>
        <v>キャリアパス要件Ⅰ・Ⅱ_加算対象</v>
      </c>
      <c r="AS15" s="531" t="str">
        <f t="shared" si="2"/>
        <v>入力済</v>
      </c>
      <c r="AT15" s="548" t="str">
        <f t="shared" si="14"/>
        <v>AH列に色付け</v>
      </c>
      <c r="AU15" s="531" t="str">
        <f t="shared" si="3"/>
        <v>入力済</v>
      </c>
      <c r="AV15" s="531" t="str">
        <f t="shared" si="4"/>
        <v>対象</v>
      </c>
      <c r="AW15" s="531" t="str">
        <f t="shared" si="15"/>
        <v>対象</v>
      </c>
      <c r="AX15" s="548" t="str">
        <f t="shared" si="5"/>
        <v/>
      </c>
      <c r="AY15" s="531" t="str">
        <f>IFERROR(VLOOKUP(K15,【参考】数式用!$AR$3:$AS$49, 2, FALSE), "")</f>
        <v>就労継続支援Ｂ型V</v>
      </c>
      <c r="AZ15" s="548" t="str">
        <f t="shared" si="16"/>
        <v>AJ列に色付け</v>
      </c>
      <c r="BA15" s="551" t="str">
        <f t="shared" si="6"/>
        <v>入力済</v>
      </c>
      <c r="BB15" s="531" t="str">
        <f>IFERROR(VLOOKUP(K15,【参考】数式用!$AX$3:$AY$59, 2, FALSE), "")</f>
        <v>就労継続支援Ｂ型R8</v>
      </c>
      <c r="BC15" s="548" t="str">
        <f t="shared" si="17"/>
        <v/>
      </c>
      <c r="BD15" s="551" t="str">
        <f t="shared" si="7"/>
        <v>入力済</v>
      </c>
      <c r="BE15" s="551" t="str">
        <f t="shared" si="18"/>
        <v/>
      </c>
      <c r="BF15" s="551" t="str">
        <f t="shared" si="19"/>
        <v/>
      </c>
      <c r="BG15" s="551" t="str">
        <f t="shared" si="20"/>
        <v/>
      </c>
      <c r="BH15" s="551" t="str">
        <f t="shared" si="8"/>
        <v/>
      </c>
      <c r="BI15" s="551" t="str">
        <f t="shared" si="9"/>
        <v>東京都</v>
      </c>
      <c r="BJ15" s="219"/>
      <c r="BK15" s="27"/>
      <c r="BL15" s="587" t="str">
        <f t="shared" si="21"/>
        <v>O列に色付け</v>
      </c>
      <c r="BM15" s="587" t="str">
        <f t="shared" si="22"/>
        <v/>
      </c>
      <c r="BN15" s="587" t="str">
        <f t="shared" si="23"/>
        <v/>
      </c>
      <c r="BO15" s="588" t="str">
        <f>IF(BM15="","",ROUNDDOWN(L15*VLOOKUP(K15,【参考】数式用!$A$4:$J$42,10,FALSE)*AA15,0))</f>
        <v/>
      </c>
      <c r="BP15" s="587" t="str">
        <f t="shared" si="24"/>
        <v/>
      </c>
      <c r="BQ15" s="587" t="str">
        <f t="shared" si="25"/>
        <v/>
      </c>
      <c r="BR15" s="589" t="str">
        <f t="shared" si="26"/>
        <v/>
      </c>
      <c r="BS15" s="589" t="str">
        <f t="shared" si="27"/>
        <v/>
      </c>
      <c r="BT15" s="587" t="str">
        <f t="shared" si="28"/>
        <v/>
      </c>
      <c r="BU15" s="588" t="str">
        <f>IF(BT15="Ⅱロ有り",ROUNDDOWN(L15*VLOOKUP(K15,【参考】数式用!$A$4:$J$42,10,FALSE)*AA15,0),"")</f>
        <v/>
      </c>
      <c r="BV15" s="587" t="str">
        <f>IF(BT15="Ⅱロなし",ROUNDDOWN(L15*VLOOKUP(K15,【参考】数式用!$A$4:$J$42,8,FALSE)*AA15,0),"")</f>
        <v/>
      </c>
    </row>
    <row r="16" spans="1:74" s="257" customFormat="1" ht="109.9" customHeight="1" thickBot="1">
      <c r="A16" s="303">
        <v>3</v>
      </c>
      <c r="B16" s="933" t="str">
        <f>IF(基本情報入力シート!B38="","",基本情報入力シート!B38)</f>
        <v>1234567902</v>
      </c>
      <c r="C16" s="934"/>
      <c r="D16" s="934"/>
      <c r="E16" s="934"/>
      <c r="F16" s="935"/>
      <c r="G16" s="304" t="str">
        <f>IF(基本情報入力シート!L38="", "", 基本情報入力シート!L38)</f>
        <v>東京都</v>
      </c>
      <c r="H16" s="304" t="str">
        <f>IF(基本情報入力シート!Q38="", "", 基本情報入力シート!Q38)</f>
        <v>東京都</v>
      </c>
      <c r="I16" s="304" t="str">
        <f>IF(基本情報入力シート!V38="", "", 基本情報入力シート!V38)</f>
        <v>小金井市</v>
      </c>
      <c r="J16" s="304" t="str">
        <f>IF(基本情報入力シート!W38="", "", 基本情報入力シート!W38)</f>
        <v>障害福祉事業所名称０４</v>
      </c>
      <c r="K16" s="304" t="str">
        <f>IF(基本情報入力シート!Z38="", "", 基本情報入力シート!Z38)</f>
        <v>自立訓練（生活訓練）</v>
      </c>
      <c r="L16" s="549">
        <f>IF(基本情報入力シート!AF38=0, "",基本情報入力シート!AF38)</f>
        <v>6219600</v>
      </c>
      <c r="M16" s="516" t="str">
        <f>IF('別紙様式2-2（個票（４、５月））'!M16="","",'別紙様式2-2（個票（４、５月））'!M16)</f>
        <v>処遇改善加算Ⅳ</v>
      </c>
      <c r="N16" s="515">
        <f>IF('別紙様式2-2（個票（４、５月））'!N16="","",'別紙様式2-2（個票（４、５月））'!N16)</f>
        <v>0.08</v>
      </c>
      <c r="O16" s="286" t="s">
        <v>196</v>
      </c>
      <c r="P16" s="546">
        <f>IFERROR(VLOOKUP(K16,【参考】数式用!$A$2:$M$57,MATCH(O16,【参考】数式用!$G$3:$M$3,0)+6,0),"")</f>
        <v>0.124</v>
      </c>
      <c r="Q16" s="310" t="s">
        <v>118</v>
      </c>
      <c r="R16" s="308">
        <v>8</v>
      </c>
      <c r="S16" s="309" t="s">
        <v>183</v>
      </c>
      <c r="T16" s="308">
        <v>6</v>
      </c>
      <c r="U16" s="309" t="s">
        <v>184</v>
      </c>
      <c r="V16" s="308">
        <v>9</v>
      </c>
      <c r="W16" s="309" t="s">
        <v>183</v>
      </c>
      <c r="X16" s="308">
        <v>3</v>
      </c>
      <c r="Y16" s="309" t="s">
        <v>185</v>
      </c>
      <c r="Z16" s="309" t="s">
        <v>186</v>
      </c>
      <c r="AA16" s="309">
        <f t="shared" si="29"/>
        <v>10</v>
      </c>
      <c r="AB16" s="305" t="s">
        <v>187</v>
      </c>
      <c r="AC16" s="306">
        <f t="shared" si="10"/>
        <v>7712300</v>
      </c>
      <c r="AD16" s="507">
        <f t="shared" si="11"/>
        <v>2736620</v>
      </c>
      <c r="AE16" s="307">
        <f>IFERROR(ROUNDDOWN(ROUNDDOWN(ROUND(L16*VLOOKUP(K16,【参考】数式用!$A$2:$M$57,MATCH("処遇改善加算Ⅳ",【参考】数式用!$G$3:$M$3,0)+6,0),0),0)*AA16*0.5,0), "")</f>
        <v>3296390</v>
      </c>
      <c r="AF16" s="318" t="s">
        <v>2209</v>
      </c>
      <c r="AG16" s="319" t="s">
        <v>2209</v>
      </c>
      <c r="AH16" s="319" t="s">
        <v>2209</v>
      </c>
      <c r="AI16" s="318"/>
      <c r="AJ16" s="320"/>
      <c r="AK16" s="326"/>
      <c r="AL16" s="324" t="str">
        <f t="shared" si="0"/>
        <v/>
      </c>
      <c r="AM16" s="325" t="str">
        <f t="shared" si="12"/>
        <v/>
      </c>
      <c r="AN16" s="255"/>
      <c r="AO16" s="548" t="str">
        <f>IFERROR(VLOOKUP(K16,【参考】数式用!$A$2:$N$57,14,FALSE),"")</f>
        <v>加算対象</v>
      </c>
      <c r="AP16" s="548" t="str">
        <f t="shared" si="13"/>
        <v>O列に色付け</v>
      </c>
      <c r="AQ16" s="552" t="str">
        <f t="shared" si="1"/>
        <v>入力済</v>
      </c>
      <c r="AR16" s="552" t="str">
        <f t="shared" si="30"/>
        <v>キャリアパス要件Ⅰ・Ⅱ_加算対象</v>
      </c>
      <c r="AS16" s="531" t="str">
        <f t="shared" si="2"/>
        <v>入力済</v>
      </c>
      <c r="AT16" s="548" t="str">
        <f t="shared" si="14"/>
        <v>AH列に色付け</v>
      </c>
      <c r="AU16" s="531" t="str">
        <f t="shared" si="3"/>
        <v>入力済</v>
      </c>
      <c r="AV16" s="531" t="str">
        <f t="shared" si="4"/>
        <v/>
      </c>
      <c r="AW16" s="531" t="str">
        <f t="shared" si="15"/>
        <v/>
      </c>
      <c r="AX16" s="548" t="str">
        <f t="shared" si="5"/>
        <v/>
      </c>
      <c r="AY16" s="531" t="str">
        <f>IFERROR(VLOOKUP(K16,【参考】数式用!$AR$3:$AS$49, 2, FALSE), "")</f>
        <v>自立訓練_生活訓練_V</v>
      </c>
      <c r="AZ16" s="548" t="str">
        <f t="shared" si="16"/>
        <v/>
      </c>
      <c r="BA16" s="551" t="str">
        <f t="shared" si="6"/>
        <v>入力済</v>
      </c>
      <c r="BB16" s="531" t="str">
        <f>IFERROR(VLOOKUP(K16,【参考】数式用!$AX$3:$AY$59, 2, FALSE), "")</f>
        <v>自立訓練_生活訓練_R8</v>
      </c>
      <c r="BC16" s="548" t="str">
        <f t="shared" si="17"/>
        <v/>
      </c>
      <c r="BD16" s="551" t="str">
        <f t="shared" si="7"/>
        <v>入力済</v>
      </c>
      <c r="BE16" s="551" t="str">
        <f t="shared" si="18"/>
        <v/>
      </c>
      <c r="BF16" s="551" t="str">
        <f t="shared" si="19"/>
        <v/>
      </c>
      <c r="BG16" s="551" t="str">
        <f t="shared" si="20"/>
        <v/>
      </c>
      <c r="BH16" s="551" t="str">
        <f t="shared" si="8"/>
        <v/>
      </c>
      <c r="BI16" s="551" t="str">
        <f t="shared" si="9"/>
        <v>東京都</v>
      </c>
      <c r="BJ16" s="219"/>
      <c r="BK16" s="27"/>
      <c r="BL16" s="587" t="str">
        <f t="shared" si="21"/>
        <v>O列に色付け</v>
      </c>
      <c r="BM16" s="587" t="str">
        <f t="shared" si="22"/>
        <v/>
      </c>
      <c r="BN16" s="587" t="str">
        <f t="shared" si="23"/>
        <v/>
      </c>
      <c r="BO16" s="588" t="str">
        <f>IF(BM16="","",ROUNDDOWN(L16*VLOOKUP(K16,【参考】数式用!$A$4:$J$42,10,FALSE)*AA16,0))</f>
        <v/>
      </c>
      <c r="BP16" s="587" t="str">
        <f t="shared" si="24"/>
        <v/>
      </c>
      <c r="BQ16" s="587" t="str">
        <f t="shared" si="25"/>
        <v/>
      </c>
      <c r="BR16" s="589" t="str">
        <f t="shared" si="26"/>
        <v/>
      </c>
      <c r="BS16" s="589" t="str">
        <f t="shared" si="27"/>
        <v/>
      </c>
      <c r="BT16" s="587" t="str">
        <f t="shared" si="28"/>
        <v/>
      </c>
      <c r="BU16" s="588" t="str">
        <f>IF(BT16="Ⅱロ有り",ROUNDDOWN(L16*VLOOKUP(K16,【参考】数式用!$A$4:$J$42,10,FALSE)*AA16,0),"")</f>
        <v/>
      </c>
      <c r="BV16" s="587" t="str">
        <f>IF(BT16="Ⅱロなし",ROUNDDOWN(L16*VLOOKUP(K16,【参考】数式用!$A$4:$J$42,8,FALSE)*AA16,0),"")</f>
        <v/>
      </c>
    </row>
    <row r="17" spans="1:74" s="257" customFormat="1" ht="109.9" customHeight="1" thickBot="1">
      <c r="A17" s="303">
        <v>4</v>
      </c>
      <c r="B17" s="933" t="str">
        <f>IF(基本情報入力シート!B39="","",基本情報入力シート!B39)</f>
        <v>1234567903</v>
      </c>
      <c r="C17" s="934"/>
      <c r="D17" s="934"/>
      <c r="E17" s="934"/>
      <c r="F17" s="935"/>
      <c r="G17" s="304" t="str">
        <f>IF(基本情報入力シート!L39="", "", 基本情報入力シート!L39)</f>
        <v>東京都</v>
      </c>
      <c r="H17" s="304" t="str">
        <f>IF(基本情報入力シート!Q39="", "", 基本情報入力シート!Q39)</f>
        <v>東京都</v>
      </c>
      <c r="I17" s="304" t="str">
        <f>IF(基本情報入力シート!V39="", "", 基本情報入力シート!V39)</f>
        <v>国分寺市</v>
      </c>
      <c r="J17" s="304" t="str">
        <f>IF(基本情報入力シート!W39="", "", 基本情報入力シート!W39)</f>
        <v>障害福祉事業所名称０５</v>
      </c>
      <c r="K17" s="304" t="str">
        <f>IF(基本情報入力シート!Z39="", "", 基本情報入力シート!Z39)</f>
        <v>療養介護</v>
      </c>
      <c r="L17" s="549">
        <f>IF(基本情報入力シート!AF39=0, "",基本情報入力シート!AF39)</f>
        <v>10642600</v>
      </c>
      <c r="M17" s="516" t="str">
        <f>IF('別紙様式2-2（個票（４、５月））'!M17="","",'別紙様式2-2（個票（４、５月））'!M17)</f>
        <v>処遇改善加算Ⅲ</v>
      </c>
      <c r="N17" s="515">
        <f>IF('別紙様式2-2（個票（４、５月））'!N17="","",'別紙様式2-2（個票（４、５月））'!N17)</f>
        <v>0.11599999999999999</v>
      </c>
      <c r="O17" s="286" t="s">
        <v>2413</v>
      </c>
      <c r="P17" s="546">
        <f>IFERROR(VLOOKUP(K17,【参考】数式用!$A$2:$M$57,MATCH(O17,【参考】数式用!$G$3:$M$3,0)+6,0),"")</f>
        <v>0.16200000000000001</v>
      </c>
      <c r="Q17" s="310" t="s">
        <v>118</v>
      </c>
      <c r="R17" s="308">
        <v>8</v>
      </c>
      <c r="S17" s="309" t="s">
        <v>183</v>
      </c>
      <c r="T17" s="308">
        <v>6</v>
      </c>
      <c r="U17" s="309" t="s">
        <v>184</v>
      </c>
      <c r="V17" s="308">
        <v>9</v>
      </c>
      <c r="W17" s="309" t="s">
        <v>183</v>
      </c>
      <c r="X17" s="308">
        <v>3</v>
      </c>
      <c r="Y17" s="309" t="s">
        <v>120</v>
      </c>
      <c r="Z17" s="309" t="s">
        <v>186</v>
      </c>
      <c r="AA17" s="309">
        <f t="shared" si="29"/>
        <v>10</v>
      </c>
      <c r="AB17" s="305" t="s">
        <v>187</v>
      </c>
      <c r="AC17" s="306">
        <f t="shared" si="10"/>
        <v>17241010</v>
      </c>
      <c r="AD17" s="507">
        <f t="shared" si="11"/>
        <v>4895600</v>
      </c>
      <c r="AE17" s="307">
        <f>IFERROR(ROUNDDOWN(ROUNDDOWN(ROUND(L17*VLOOKUP(K17,【参考】数式用!$A$2:$M$57,MATCH("処遇改善加算Ⅳ",【参考】数式用!$G$3:$M$3,0)+6,0),0),0)*AA17*0.5,0), "")</f>
        <v>6704840</v>
      </c>
      <c r="AF17" s="318" t="s">
        <v>2209</v>
      </c>
      <c r="AG17" s="319" t="s">
        <v>189</v>
      </c>
      <c r="AH17" s="319" t="s">
        <v>2209</v>
      </c>
      <c r="AI17" s="318" t="s">
        <v>2209</v>
      </c>
      <c r="AJ17" s="320"/>
      <c r="AK17" s="326" t="s">
        <v>2508</v>
      </c>
      <c r="AL17" s="324" t="str">
        <f t="shared" si="0"/>
        <v/>
      </c>
      <c r="AM17" s="325" t="str">
        <f t="shared" si="12"/>
        <v/>
      </c>
      <c r="AN17" s="255"/>
      <c r="AO17" s="548" t="str">
        <f>IFERROR(VLOOKUP(K17,【参考】数式用!$A$2:$N$57,14,FALSE),"")</f>
        <v>加算対象</v>
      </c>
      <c r="AP17" s="548" t="str">
        <f t="shared" si="13"/>
        <v>O列に色付け</v>
      </c>
      <c r="AQ17" s="552" t="str">
        <f t="shared" si="1"/>
        <v>入力済</v>
      </c>
      <c r="AR17" s="552" t="str">
        <f t="shared" si="30"/>
        <v>キャリアパス要件Ⅰ・Ⅱ_加算対象</v>
      </c>
      <c r="AS17" s="531" t="str">
        <f t="shared" si="2"/>
        <v>入力済</v>
      </c>
      <c r="AT17" s="548" t="str">
        <f t="shared" si="14"/>
        <v>AH列に色付け</v>
      </c>
      <c r="AU17" s="531" t="str">
        <f t="shared" si="3"/>
        <v>入力済</v>
      </c>
      <c r="AV17" s="531" t="str">
        <f t="shared" si="4"/>
        <v>対象</v>
      </c>
      <c r="AW17" s="531" t="str">
        <f t="shared" si="15"/>
        <v>対象</v>
      </c>
      <c r="AX17" s="548" t="str">
        <f t="shared" si="5"/>
        <v/>
      </c>
      <c r="AY17" s="531" t="str">
        <f>IFERROR(VLOOKUP(K17,【参考】数式用!$AR$3:$AS$49, 2, FALSE), "")</f>
        <v>療養介護V</v>
      </c>
      <c r="AZ17" s="548" t="str">
        <f t="shared" si="16"/>
        <v/>
      </c>
      <c r="BA17" s="551" t="str">
        <f t="shared" si="6"/>
        <v>入力済</v>
      </c>
      <c r="BB17" s="531" t="str">
        <f>IFERROR(VLOOKUP(K17,【参考】数式用!$AX$3:$AY$59, 2, FALSE), "")</f>
        <v>療養介護R8</v>
      </c>
      <c r="BC17" s="548" t="str">
        <f t="shared" si="17"/>
        <v>AK列に色付け</v>
      </c>
      <c r="BD17" s="551" t="str">
        <f t="shared" si="7"/>
        <v>入力済</v>
      </c>
      <c r="BE17" s="551" t="str">
        <f t="shared" si="18"/>
        <v/>
      </c>
      <c r="BF17" s="551" t="str">
        <f t="shared" si="19"/>
        <v/>
      </c>
      <c r="BG17" s="551" t="str">
        <f t="shared" si="20"/>
        <v>入力必要</v>
      </c>
      <c r="BH17" s="551" t="str">
        <f t="shared" si="8"/>
        <v>入力済</v>
      </c>
      <c r="BI17" s="551" t="str">
        <f t="shared" si="9"/>
        <v>東京都</v>
      </c>
      <c r="BJ17" s="219"/>
      <c r="BK17" s="27"/>
      <c r="BL17" s="587" t="str">
        <f t="shared" si="21"/>
        <v>O列に色付け</v>
      </c>
      <c r="BM17" s="587" t="str">
        <f t="shared" si="22"/>
        <v/>
      </c>
      <c r="BN17" s="587" t="str">
        <f t="shared" si="23"/>
        <v/>
      </c>
      <c r="BO17" s="588" t="str">
        <f>IF(BM17="","",ROUNDDOWN(L17*VLOOKUP(K17,【参考】数式用!$A$4:$J$42,10,FALSE)*AA17,0))</f>
        <v/>
      </c>
      <c r="BP17" s="587" t="str">
        <f t="shared" si="24"/>
        <v/>
      </c>
      <c r="BQ17" s="587" t="str">
        <f t="shared" si="25"/>
        <v/>
      </c>
      <c r="BR17" s="589" t="str">
        <f t="shared" si="26"/>
        <v/>
      </c>
      <c r="BS17" s="589" t="str">
        <f t="shared" si="27"/>
        <v>特例要件</v>
      </c>
      <c r="BT17" s="587" t="str">
        <f t="shared" si="28"/>
        <v>Ⅱロ有り</v>
      </c>
      <c r="BU17" s="588">
        <f>IF(BT17="Ⅱロ有り",ROUNDDOWN(L17*VLOOKUP(K17,【参考】数式用!$A$4:$J$42,10,FALSE)*AA17,0),"")</f>
        <v>17985994</v>
      </c>
      <c r="BV17" s="587" t="str">
        <f>IF(BT17="Ⅱロなし",ROUNDDOWN(L17*VLOOKUP(K17,【参考】数式用!$A$4:$J$42,8,FALSE)*AA17,0),"")</f>
        <v/>
      </c>
    </row>
    <row r="18" spans="1:74" s="257" customFormat="1" ht="109.9" customHeight="1" thickBot="1">
      <c r="A18" s="303">
        <v>5</v>
      </c>
      <c r="B18" s="933" t="str">
        <f>IF(基本情報入力シート!B40="","",基本情報入力シート!B40)</f>
        <v>1234567904</v>
      </c>
      <c r="C18" s="934"/>
      <c r="D18" s="934"/>
      <c r="E18" s="934"/>
      <c r="F18" s="935"/>
      <c r="G18" s="304" t="str">
        <f>IF(基本情報入力シート!L40="", "", 基本情報入力シート!L40)</f>
        <v>東京都</v>
      </c>
      <c r="H18" s="304" t="str">
        <f>IF(基本情報入力シート!Q40="", "", 基本情報入力シート!Q40)</f>
        <v>東京都</v>
      </c>
      <c r="I18" s="304" t="str">
        <f>IF(基本情報入力シート!V40="", "", 基本情報入力シート!V40)</f>
        <v>杉並区</v>
      </c>
      <c r="J18" s="304" t="str">
        <f>IF(基本情報入力シート!W40="", "", 基本情報入力シート!W40)</f>
        <v>障害福祉事業所名称０６</v>
      </c>
      <c r="K18" s="304" t="str">
        <f>IF(基本情報入力シート!Z40="", "", 基本情報入力シート!Z40)</f>
        <v>計画相談支援</v>
      </c>
      <c r="L18" s="549">
        <f>IF(基本情報入力シート!AF40=0, "",基本情報入力シート!AF40)</f>
        <v>474500</v>
      </c>
      <c r="M18" s="516" t="str">
        <f>IF('別紙様式2-2（個票（４、５月））'!M18="","",'別紙様式2-2（個票（４、５月））'!M18)</f>
        <v/>
      </c>
      <c r="N18" s="515" t="str">
        <f>IF('別紙様式2-2（個票（４、５月））'!N18="","",'別紙様式2-2（個票（４、５月））'!N18)</f>
        <v/>
      </c>
      <c r="O18" s="286" t="s">
        <v>197</v>
      </c>
      <c r="P18" s="546">
        <f>IFERROR(VLOOKUP(K18,【参考】数式用!$A$2:$M$57,MATCH(O18,【参考】数式用!$G$3:$M$3,0)+6,0),"")</f>
        <v>5.0999999999999997E-2</v>
      </c>
      <c r="Q18" s="310" t="s">
        <v>118</v>
      </c>
      <c r="R18" s="308">
        <v>8</v>
      </c>
      <c r="S18" s="309" t="s">
        <v>183</v>
      </c>
      <c r="T18" s="308">
        <v>6</v>
      </c>
      <c r="U18" s="309" t="s">
        <v>184</v>
      </c>
      <c r="V18" s="308">
        <v>9</v>
      </c>
      <c r="W18" s="309" t="s">
        <v>183</v>
      </c>
      <c r="X18" s="308">
        <v>3</v>
      </c>
      <c r="Y18" s="309" t="s">
        <v>120</v>
      </c>
      <c r="Z18" s="309" t="s">
        <v>186</v>
      </c>
      <c r="AA18" s="309">
        <f t="shared" si="29"/>
        <v>10</v>
      </c>
      <c r="AB18" s="305" t="s">
        <v>187</v>
      </c>
      <c r="AC18" s="306">
        <f t="shared" si="10"/>
        <v>242000</v>
      </c>
      <c r="AD18" s="507" t="str">
        <f t="shared" si="11"/>
        <v/>
      </c>
      <c r="AE18" s="307">
        <f>IFERROR(ROUNDDOWN(ROUNDDOWN(ROUND(L18*VLOOKUP(K18,【参考】数式用!$A$2:$M$57,MATCH("処遇改善加算Ⅳ",【参考】数式用!$G$3:$M$3,0)+6,0),0),0)*AA18*0.5,0), "")</f>
        <v>0</v>
      </c>
      <c r="AF18" s="318"/>
      <c r="AG18" s="319" t="s">
        <v>2529</v>
      </c>
      <c r="AH18" s="319"/>
      <c r="AI18" s="318"/>
      <c r="AJ18" s="320"/>
      <c r="AK18" s="326" t="s">
        <v>2389</v>
      </c>
      <c r="AL18" s="324" t="str">
        <f t="shared" si="0"/>
        <v/>
      </c>
      <c r="AM18" s="325" t="str">
        <f t="shared" si="12"/>
        <v/>
      </c>
      <c r="AN18" s="255"/>
      <c r="AO18" s="548" t="str">
        <f>IFERROR(VLOOKUP(K18,【参考】数式用!$A$2:$N$57,14,FALSE),"")</f>
        <v>加算対象外</v>
      </c>
      <c r="AP18" s="548" t="str">
        <f t="shared" si="13"/>
        <v>O列に色付け</v>
      </c>
      <c r="AQ18" s="552" t="str">
        <f t="shared" si="1"/>
        <v/>
      </c>
      <c r="AR18" s="552" t="str">
        <f t="shared" si="30"/>
        <v>キャリアパス要件Ⅰ・Ⅱ_加算対象外</v>
      </c>
      <c r="AS18" s="531" t="str">
        <f t="shared" si="2"/>
        <v>入力済</v>
      </c>
      <c r="AT18" s="548" t="str">
        <f t="shared" si="14"/>
        <v/>
      </c>
      <c r="AU18" s="531" t="str">
        <f t="shared" si="3"/>
        <v>入力済</v>
      </c>
      <c r="AV18" s="531" t="str">
        <f t="shared" si="4"/>
        <v/>
      </c>
      <c r="AW18" s="531" t="str">
        <f t="shared" si="15"/>
        <v/>
      </c>
      <c r="AX18" s="548" t="str">
        <f t="shared" si="5"/>
        <v/>
      </c>
      <c r="AY18" s="531" t="str">
        <f>IFERROR(VLOOKUP(K18,【参考】数式用!$AR$3:$AS$49, 2, FALSE), "")</f>
        <v/>
      </c>
      <c r="AZ18" s="548" t="str">
        <f t="shared" si="16"/>
        <v/>
      </c>
      <c r="BA18" s="551" t="str">
        <f t="shared" si="6"/>
        <v>入力済</v>
      </c>
      <c r="BB18" s="531" t="str">
        <f>IFERROR(VLOOKUP(K18,【参考】数式用!$AX$3:$AY$59, 2, FALSE), "")</f>
        <v>計画相談支援R8</v>
      </c>
      <c r="BC18" s="548" t="str">
        <f t="shared" si="17"/>
        <v>AK列に色付け</v>
      </c>
      <c r="BD18" s="551" t="str">
        <f t="shared" si="7"/>
        <v>入力済</v>
      </c>
      <c r="BE18" s="551" t="str">
        <f t="shared" si="18"/>
        <v/>
      </c>
      <c r="BF18" s="551" t="str">
        <f t="shared" si="19"/>
        <v/>
      </c>
      <c r="BG18" s="551" t="str">
        <f t="shared" si="20"/>
        <v>入力必要</v>
      </c>
      <c r="BH18" s="551" t="str">
        <f t="shared" si="8"/>
        <v>入力済</v>
      </c>
      <c r="BI18" s="551" t="str">
        <f t="shared" si="9"/>
        <v>東京都</v>
      </c>
      <c r="BK18" s="590"/>
      <c r="BL18" s="587" t="str">
        <f t="shared" si="21"/>
        <v/>
      </c>
      <c r="BM18" s="587" t="str">
        <f t="shared" si="22"/>
        <v/>
      </c>
      <c r="BN18" s="587" t="str">
        <f t="shared" si="23"/>
        <v/>
      </c>
      <c r="BO18" s="588" t="str">
        <f>IF(BM18="","",ROUNDDOWN(L18*VLOOKUP(K18,【参考】数式用!$A$4:$J$42,10,FALSE)*AA18,0))</f>
        <v/>
      </c>
      <c r="BP18" s="587" t="str">
        <f t="shared" si="24"/>
        <v/>
      </c>
      <c r="BQ18" s="587" t="str">
        <f t="shared" si="25"/>
        <v>対象</v>
      </c>
      <c r="BR18" s="589" t="str">
        <f t="shared" si="26"/>
        <v/>
      </c>
      <c r="BS18" s="589" t="str">
        <f t="shared" si="27"/>
        <v/>
      </c>
      <c r="BT18" s="587" t="str">
        <f t="shared" si="28"/>
        <v/>
      </c>
      <c r="BU18" s="588" t="str">
        <f>IF(BT18="Ⅱロ有り",ROUNDDOWN(L18*VLOOKUP(K18,【参考】数式用!$A$4:$J$42,10,FALSE)*AA18,0),"")</f>
        <v/>
      </c>
      <c r="BV18" s="587" t="str">
        <f>IF(BT18="Ⅱロなし",ROUNDDOWN(L18*VLOOKUP(K18,【参考】数式用!$A$4:$J$42,8,FALSE)*AA18,0),"")</f>
        <v/>
      </c>
    </row>
    <row r="19" spans="1:74" s="257" customFormat="1" ht="109.9" customHeight="1" thickBot="1">
      <c r="A19" s="303">
        <v>6</v>
      </c>
      <c r="B19" s="933" t="str">
        <f>IF(基本情報入力シート!B41="","",基本情報入力シート!B41)</f>
        <v>1234567905</v>
      </c>
      <c r="C19" s="934"/>
      <c r="D19" s="934"/>
      <c r="E19" s="934"/>
      <c r="F19" s="935"/>
      <c r="G19" s="304" t="str">
        <f>IF(基本情報入力シート!L41="", "", 基本情報入力シート!L41)</f>
        <v>東京都</v>
      </c>
      <c r="H19" s="304" t="str">
        <f>IF(基本情報入力シート!Q41="", "", 基本情報入力シート!Q41)</f>
        <v>東京都</v>
      </c>
      <c r="I19" s="304" t="str">
        <f>IF(基本情報入力シート!V41="", "", 基本情報入力シート!V41)</f>
        <v>中野区</v>
      </c>
      <c r="J19" s="304" t="str">
        <f>IF(基本情報入力シート!W41="", "", 基本情報入力シート!W41)</f>
        <v>障害福祉事業所名称０７</v>
      </c>
      <c r="K19" s="304" t="str">
        <f>IF(基本情報入力シート!Z41="", "", 基本情報入力シート!Z41)</f>
        <v>地域相談支援（地域移行支援）</v>
      </c>
      <c r="L19" s="549">
        <f>IF(基本情報入力シート!AF41=0, "",基本情報入力シート!AF41)</f>
        <v>379600</v>
      </c>
      <c r="M19" s="516" t="str">
        <f>IF('別紙様式2-2（個票（４、５月））'!M19="","",'別紙様式2-2（個票（４、５月））'!M19)</f>
        <v/>
      </c>
      <c r="N19" s="515" t="str">
        <f>IF('別紙様式2-2（個票（４、５月））'!N19="","",'別紙様式2-2（個票（４、５月））'!N19)</f>
        <v/>
      </c>
      <c r="O19" s="286" t="s">
        <v>197</v>
      </c>
      <c r="P19" s="546">
        <f>IFERROR(VLOOKUP(K19,【参考】数式用!$A$2:$M$57,MATCH(O19,【参考】数式用!$G$3:$M$3,0)+6,0),"")</f>
        <v>5.0999999999999997E-2</v>
      </c>
      <c r="Q19" s="310" t="s">
        <v>118</v>
      </c>
      <c r="R19" s="308">
        <v>8</v>
      </c>
      <c r="S19" s="309" t="s">
        <v>183</v>
      </c>
      <c r="T19" s="308">
        <v>6</v>
      </c>
      <c r="U19" s="309" t="s">
        <v>184</v>
      </c>
      <c r="V19" s="308">
        <v>9</v>
      </c>
      <c r="W19" s="309" t="s">
        <v>183</v>
      </c>
      <c r="X19" s="308">
        <v>3</v>
      </c>
      <c r="Y19" s="309" t="s">
        <v>185</v>
      </c>
      <c r="Z19" s="309" t="s">
        <v>186</v>
      </c>
      <c r="AA19" s="309">
        <f t="shared" si="29"/>
        <v>10</v>
      </c>
      <c r="AB19" s="305" t="s">
        <v>187</v>
      </c>
      <c r="AC19" s="306">
        <f t="shared" si="10"/>
        <v>193600</v>
      </c>
      <c r="AD19" s="507" t="str">
        <f t="shared" si="11"/>
        <v/>
      </c>
      <c r="AE19" s="307">
        <f>IFERROR(ROUNDDOWN(ROUNDDOWN(ROUND(L19*VLOOKUP(K19,【参考】数式用!$A$2:$M$57,MATCH("処遇改善加算Ⅳ",【参考】数式用!$G$3:$M$3,0)+6,0),0),0)*AA19*0.5,0), "")</f>
        <v>0</v>
      </c>
      <c r="AF19" s="318"/>
      <c r="AG19" s="319" t="s">
        <v>267</v>
      </c>
      <c r="AH19" s="319"/>
      <c r="AI19" s="318"/>
      <c r="AJ19" s="320"/>
      <c r="AK19" s="326"/>
      <c r="AL19" s="324" t="str">
        <f t="shared" si="0"/>
        <v/>
      </c>
      <c r="AM19" s="325" t="str">
        <f t="shared" si="12"/>
        <v/>
      </c>
      <c r="AN19" s="255"/>
      <c r="AO19" s="548" t="str">
        <f>IFERROR(VLOOKUP(K19,【参考】数式用!$A$2:$N$57,14,FALSE),"")</f>
        <v>加算対象外</v>
      </c>
      <c r="AP19" s="548" t="str">
        <f t="shared" si="13"/>
        <v>O列に色付け</v>
      </c>
      <c r="AQ19" s="552" t="str">
        <f t="shared" si="1"/>
        <v/>
      </c>
      <c r="AR19" s="552" t="str">
        <f t="shared" si="30"/>
        <v>キャリアパス要件Ⅰ・Ⅱ_加算対象外</v>
      </c>
      <c r="AS19" s="531" t="str">
        <f t="shared" si="2"/>
        <v>入力済</v>
      </c>
      <c r="AT19" s="548" t="str">
        <f t="shared" si="14"/>
        <v/>
      </c>
      <c r="AU19" s="531" t="str">
        <f t="shared" si="3"/>
        <v>入力済</v>
      </c>
      <c r="AV19" s="531" t="str">
        <f t="shared" si="4"/>
        <v/>
      </c>
      <c r="AW19" s="531" t="str">
        <f t="shared" si="15"/>
        <v/>
      </c>
      <c r="AX19" s="548" t="str">
        <f t="shared" si="5"/>
        <v/>
      </c>
      <c r="AY19" s="531" t="str">
        <f>IFERROR(VLOOKUP(K19,【参考】数式用!$AR$3:$AS$49, 2, FALSE), "")</f>
        <v/>
      </c>
      <c r="AZ19" s="548" t="str">
        <f t="shared" si="16"/>
        <v/>
      </c>
      <c r="BA19" s="551" t="str">
        <f t="shared" si="6"/>
        <v>入力済</v>
      </c>
      <c r="BB19" s="531" t="str">
        <f>IFERROR(VLOOKUP(K19,【参考】数式用!$AX$3:$AY$59, 2, FALSE), "")</f>
        <v>地域相談支援_地域移行支援_R8</v>
      </c>
      <c r="BC19" s="548" t="str">
        <f t="shared" si="17"/>
        <v>AK列に色付け</v>
      </c>
      <c r="BD19" s="551" t="str">
        <f t="shared" si="7"/>
        <v>入力済</v>
      </c>
      <c r="BE19" s="551" t="str">
        <f t="shared" si="18"/>
        <v/>
      </c>
      <c r="BF19" s="551" t="str">
        <f t="shared" si="19"/>
        <v>AK列色消し</v>
      </c>
      <c r="BG19" s="551" t="str">
        <f t="shared" si="20"/>
        <v/>
      </c>
      <c r="BH19" s="551" t="str">
        <f t="shared" si="8"/>
        <v/>
      </c>
      <c r="BI19" s="551" t="str">
        <f t="shared" si="9"/>
        <v>東京都</v>
      </c>
      <c r="BK19" s="590"/>
      <c r="BL19" s="587" t="str">
        <f t="shared" si="21"/>
        <v/>
      </c>
      <c r="BM19" s="587" t="str">
        <f t="shared" si="22"/>
        <v/>
      </c>
      <c r="BN19" s="587" t="str">
        <f t="shared" si="23"/>
        <v/>
      </c>
      <c r="BO19" s="588" t="str">
        <f>IF(BM19="","",ROUNDDOWN(L19*VLOOKUP(K19,【参考】数式用!$A$4:$J$42,10,FALSE)*AA19,0))</f>
        <v/>
      </c>
      <c r="BP19" s="587" t="str">
        <f t="shared" si="24"/>
        <v/>
      </c>
      <c r="BQ19" s="587" t="str">
        <f t="shared" si="25"/>
        <v>対象</v>
      </c>
      <c r="BR19" s="589" t="str">
        <f t="shared" si="26"/>
        <v>対象</v>
      </c>
      <c r="BS19" s="589" t="str">
        <f t="shared" si="27"/>
        <v/>
      </c>
      <c r="BT19" s="587" t="str">
        <f t="shared" si="28"/>
        <v/>
      </c>
      <c r="BU19" s="588" t="str">
        <f>IF(BT19="Ⅱロ有り",ROUNDDOWN(L19*VLOOKUP(K19,【参考】数式用!$A$4:$J$42,10,FALSE)*AA19,0),"")</f>
        <v/>
      </c>
      <c r="BV19" s="587" t="str">
        <f>IF(BT19="Ⅱロなし",ROUNDDOWN(L19*VLOOKUP(K19,【参考】数式用!$A$4:$J$42,8,FALSE)*AA19,0),"")</f>
        <v/>
      </c>
    </row>
    <row r="20" spans="1:74" s="257" customFormat="1" ht="109.9" customHeight="1" thickBot="1">
      <c r="A20" s="303">
        <v>7</v>
      </c>
      <c r="B20" s="936" t="str">
        <f>IF(基本情報入力シート!B42="","",基本情報入力シート!B42)</f>
        <v>1234567906</v>
      </c>
      <c r="C20" s="937"/>
      <c r="D20" s="937"/>
      <c r="E20" s="937"/>
      <c r="F20" s="938"/>
      <c r="G20" s="304" t="str">
        <f>IF(基本情報入力シート!L42="", "", 基本情報入力シート!L42)</f>
        <v>東京都</v>
      </c>
      <c r="H20" s="304" t="str">
        <f>IF(基本情報入力シート!Q42="", "", 基本情報入力シート!Q42)</f>
        <v>東京都</v>
      </c>
      <c r="I20" s="304" t="str">
        <f>IF(基本情報入力シート!V42="", "", 基本情報入力シート!V42)</f>
        <v>新宿区</v>
      </c>
      <c r="J20" s="304" t="str">
        <f>IF(基本情報入力シート!W42="", "", 基本情報入力シート!W42)</f>
        <v>障害福祉事業所名称０８</v>
      </c>
      <c r="K20" s="304" t="str">
        <f>IF(基本情報入力シート!Z42="", "", 基本情報入力シート!Z42)</f>
        <v>障害者支援施設：生活介護</v>
      </c>
      <c r="L20" s="549">
        <f>IF(基本情報入力シート!AF42=0, "",基本情報入力シート!AF42)</f>
        <v>480000</v>
      </c>
      <c r="M20" s="516" t="str">
        <f>IF('別紙様式2-2（個票（４、５月））'!M20="","",'別紙様式2-2（個票（４、５月））'!M20)</f>
        <v>処遇改善加算Ⅲ</v>
      </c>
      <c r="N20" s="515">
        <f>IF('別紙様式2-2（個票（４、５月））'!N20="","",'別紙様式2-2（個票（４、５月））'!N20)</f>
        <v>8.4000000000000005E-2</v>
      </c>
      <c r="O20" s="286" t="s">
        <v>196</v>
      </c>
      <c r="P20" s="546">
        <f>IFERROR(VLOOKUP(K20,【参考】数式用!$A$2:$M$57,MATCH(O20,【参考】数式用!$G$3:$M$3,0)+6,0),"")</f>
        <v>9.6000000000000002E-2</v>
      </c>
      <c r="Q20" s="310" t="s">
        <v>118</v>
      </c>
      <c r="R20" s="308">
        <v>8</v>
      </c>
      <c r="S20" s="309" t="s">
        <v>183</v>
      </c>
      <c r="T20" s="308">
        <v>6</v>
      </c>
      <c r="U20" s="309" t="s">
        <v>184</v>
      </c>
      <c r="V20" s="308">
        <v>9</v>
      </c>
      <c r="W20" s="309" t="s">
        <v>183</v>
      </c>
      <c r="X20" s="308">
        <v>3</v>
      </c>
      <c r="Y20" s="309" t="s">
        <v>185</v>
      </c>
      <c r="Z20" s="309" t="s">
        <v>186</v>
      </c>
      <c r="AA20" s="309">
        <f t="shared" si="29"/>
        <v>10</v>
      </c>
      <c r="AB20" s="305" t="s">
        <v>187</v>
      </c>
      <c r="AC20" s="306">
        <f t="shared" si="10"/>
        <v>460800</v>
      </c>
      <c r="AD20" s="507">
        <f t="shared" si="11"/>
        <v>57600</v>
      </c>
      <c r="AE20" s="307">
        <f>IFERROR(ROUNDDOWN(ROUNDDOWN(ROUND(L20*VLOOKUP(K20,【参考】数式用!$A$2:$M$57,MATCH("処遇改善加算Ⅳ",【参考】数式用!$G$3:$M$3,0)+6,0),0),0)*AA20*0.5,0), "")</f>
        <v>189600</v>
      </c>
      <c r="AF20" s="318" t="s">
        <v>2209</v>
      </c>
      <c r="AG20" s="319" t="s">
        <v>2209</v>
      </c>
      <c r="AH20" s="319" t="s">
        <v>2209</v>
      </c>
      <c r="AI20" s="318"/>
      <c r="AJ20" s="320"/>
      <c r="AK20" s="326"/>
      <c r="AL20" s="324" t="str">
        <f t="shared" si="0"/>
        <v/>
      </c>
      <c r="AM20" s="325" t="str">
        <f t="shared" si="12"/>
        <v/>
      </c>
      <c r="AN20" s="255"/>
      <c r="AO20" s="548" t="str">
        <f>IFERROR(VLOOKUP(K20,【参考】数式用!$A$2:$N$57,14,FALSE),"")</f>
        <v>加算対象</v>
      </c>
      <c r="AP20" s="548" t="str">
        <f t="shared" si="13"/>
        <v>O列に色付け</v>
      </c>
      <c r="AQ20" s="552" t="str">
        <f t="shared" si="1"/>
        <v>入力済</v>
      </c>
      <c r="AR20" s="552" t="str">
        <f t="shared" si="30"/>
        <v>キャリアパス要件Ⅰ・Ⅱ_加算対象</v>
      </c>
      <c r="AS20" s="531" t="str">
        <f t="shared" si="2"/>
        <v>入力済</v>
      </c>
      <c r="AT20" s="548" t="str">
        <f t="shared" si="14"/>
        <v>AH列に色付け</v>
      </c>
      <c r="AU20" s="531" t="str">
        <f t="shared" si="3"/>
        <v>入力済</v>
      </c>
      <c r="AV20" s="531" t="str">
        <f t="shared" si="4"/>
        <v/>
      </c>
      <c r="AW20" s="531" t="str">
        <f t="shared" si="15"/>
        <v/>
      </c>
      <c r="AX20" s="548" t="str">
        <f t="shared" si="5"/>
        <v/>
      </c>
      <c r="AY20" s="531" t="str">
        <f>IFERROR(VLOOKUP(K20,【参考】数式用!$AR$3:$AS$49, 2, FALSE), "")</f>
        <v>障害者支援施設_生活介護V</v>
      </c>
      <c r="AZ20" s="548" t="str">
        <f t="shared" si="16"/>
        <v/>
      </c>
      <c r="BA20" s="551" t="str">
        <f t="shared" si="6"/>
        <v>入力済</v>
      </c>
      <c r="BB20" s="531" t="str">
        <f>IFERROR(VLOOKUP(K20,【参考】数式用!$AX$3:$AY$59, 2, FALSE), "")</f>
        <v>障害者支援施設_生活介護R8</v>
      </c>
      <c r="BC20" s="548" t="str">
        <f t="shared" si="17"/>
        <v/>
      </c>
      <c r="BD20" s="551" t="str">
        <f t="shared" si="7"/>
        <v>入力済</v>
      </c>
      <c r="BE20" s="551" t="str">
        <f t="shared" si="18"/>
        <v/>
      </c>
      <c r="BF20" s="551" t="str">
        <f t="shared" si="19"/>
        <v/>
      </c>
      <c r="BG20" s="551" t="str">
        <f t="shared" si="20"/>
        <v/>
      </c>
      <c r="BH20" s="551" t="str">
        <f t="shared" si="8"/>
        <v/>
      </c>
      <c r="BI20" s="551" t="str">
        <f t="shared" si="9"/>
        <v>東京都</v>
      </c>
      <c r="BK20" s="590"/>
      <c r="BL20" s="587" t="str">
        <f t="shared" si="21"/>
        <v>O列に色付け</v>
      </c>
      <c r="BM20" s="587" t="str">
        <f t="shared" si="22"/>
        <v/>
      </c>
      <c r="BN20" s="587" t="str">
        <f t="shared" si="23"/>
        <v/>
      </c>
      <c r="BO20" s="588" t="str">
        <f>IF(BM20="","",ROUNDDOWN(L20*VLOOKUP(K20,【参考】数式用!$A$4:$J$42,10,FALSE)*AA20,0))</f>
        <v/>
      </c>
      <c r="BP20" s="587" t="str">
        <f t="shared" si="24"/>
        <v/>
      </c>
      <c r="BQ20" s="587" t="str">
        <f t="shared" si="25"/>
        <v/>
      </c>
      <c r="BR20" s="589" t="str">
        <f t="shared" si="26"/>
        <v/>
      </c>
      <c r="BS20" s="589" t="str">
        <f t="shared" si="27"/>
        <v/>
      </c>
      <c r="BT20" s="587" t="str">
        <f t="shared" si="28"/>
        <v/>
      </c>
      <c r="BU20" s="588" t="str">
        <f>IF(BT20="Ⅱロ有り",ROUNDDOWN(L20*VLOOKUP(K20,【参考】数式用!$A$4:$J$42,10,FALSE)*AA20,0),"")</f>
        <v/>
      </c>
      <c r="BV20" s="587" t="str">
        <f>IF(BT20="Ⅱロなし",ROUNDDOWN(L20*VLOOKUP(K20,【参考】数式用!$A$4:$J$42,8,FALSE)*AA20,0),"")</f>
        <v/>
      </c>
    </row>
    <row r="21" spans="1:74" s="257" customFormat="1" ht="109.9" customHeight="1" thickBot="1">
      <c r="A21" s="303">
        <v>8</v>
      </c>
      <c r="B21" s="933" t="str">
        <f>IF(基本情報入力シート!B43="","",基本情報入力シート!B43)</f>
        <v/>
      </c>
      <c r="C21" s="934"/>
      <c r="D21" s="934"/>
      <c r="E21" s="934"/>
      <c r="F21" s="935"/>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49" t="str">
        <f>IF(基本情報入力シート!AF43=0, "",基本情報入力シート!AF43)</f>
        <v/>
      </c>
      <c r="M21" s="516" t="str">
        <f>IF('別紙様式2-2（個票（４、５月））'!M21="","",'別紙様式2-2（個票（４、５月））'!M21)</f>
        <v/>
      </c>
      <c r="N21" s="515" t="str">
        <f>IF('別紙様式2-2（個票（４、５月））'!N21="","",'別紙様式2-2（個票（４、５月））'!N21)</f>
        <v/>
      </c>
      <c r="O21" s="286"/>
      <c r="P21" s="546" t="str">
        <f>IFERROR(VLOOKUP(K21,【参考】数式用!$A$2:$M$57,MATCH(O21,【参考】数式用!$G$3:$M$3,0)+6,0),"")</f>
        <v/>
      </c>
      <c r="Q21" s="310" t="s">
        <v>118</v>
      </c>
      <c r="R21" s="308"/>
      <c r="S21" s="309" t="s">
        <v>183</v>
      </c>
      <c r="T21" s="308"/>
      <c r="U21" s="309" t="s">
        <v>184</v>
      </c>
      <c r="V21" s="308"/>
      <c r="W21" s="309" t="s">
        <v>183</v>
      </c>
      <c r="X21" s="308"/>
      <c r="Y21" s="309" t="s">
        <v>185</v>
      </c>
      <c r="Z21" s="309" t="s">
        <v>186</v>
      </c>
      <c r="AA21" s="309" t="str">
        <f t="shared" si="29"/>
        <v/>
      </c>
      <c r="AB21" s="305" t="s">
        <v>187</v>
      </c>
      <c r="AC21" s="306" t="str">
        <f t="shared" si="10"/>
        <v/>
      </c>
      <c r="AD21" s="507"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48" t="str">
        <f>IFERROR(VLOOKUP(K21,【参考】数式用!$A$2:$N$57,14,FALSE),"")</f>
        <v/>
      </c>
      <c r="AP21" s="548" t="str">
        <f t="shared" si="13"/>
        <v/>
      </c>
      <c r="AQ21" s="552" t="str">
        <f t="shared" si="1"/>
        <v/>
      </c>
      <c r="AR21" s="552" t="str">
        <f t="shared" si="30"/>
        <v>キャリアパス要件Ⅰ・Ⅱ_</v>
      </c>
      <c r="AS21" s="531" t="str">
        <f t="shared" si="2"/>
        <v>入力済</v>
      </c>
      <c r="AT21" s="548" t="str">
        <f t="shared" si="14"/>
        <v/>
      </c>
      <c r="AU21" s="531" t="str">
        <f t="shared" si="3"/>
        <v>入力済</v>
      </c>
      <c r="AV21" s="531" t="str">
        <f t="shared" si="4"/>
        <v/>
      </c>
      <c r="AW21" s="531" t="str">
        <f t="shared" si="15"/>
        <v/>
      </c>
      <c r="AX21" s="548" t="str">
        <f t="shared" si="5"/>
        <v/>
      </c>
      <c r="AY21" s="531" t="str">
        <f>IFERROR(VLOOKUP(K21,【参考】数式用!$AR$3:$AS$49, 2, FALSE), "")</f>
        <v/>
      </c>
      <c r="AZ21" s="548" t="str">
        <f t="shared" si="16"/>
        <v/>
      </c>
      <c r="BA21" s="551" t="str">
        <f t="shared" si="6"/>
        <v>入力済</v>
      </c>
      <c r="BB21" s="531" t="str">
        <f>IFERROR(VLOOKUP(K21,【参考】数式用!$AX$3:$AY$59, 2, FALSE), "")</f>
        <v/>
      </c>
      <c r="BC21" s="548" t="str">
        <f t="shared" si="17"/>
        <v/>
      </c>
      <c r="BD21" s="551" t="str">
        <f t="shared" si="7"/>
        <v>入力済</v>
      </c>
      <c r="BE21" s="551" t="str">
        <f t="shared" si="18"/>
        <v/>
      </c>
      <c r="BF21" s="551" t="str">
        <f t="shared" si="19"/>
        <v/>
      </c>
      <c r="BG21" s="551" t="str">
        <f t="shared" si="20"/>
        <v/>
      </c>
      <c r="BH21" s="551" t="str">
        <f t="shared" si="8"/>
        <v/>
      </c>
      <c r="BI21" s="551" t="str">
        <f t="shared" si="9"/>
        <v/>
      </c>
      <c r="BK21" s="590"/>
      <c r="BL21" s="587" t="str">
        <f t="shared" si="21"/>
        <v/>
      </c>
      <c r="BM21" s="587" t="str">
        <f t="shared" si="22"/>
        <v/>
      </c>
      <c r="BN21" s="587" t="str">
        <f t="shared" si="23"/>
        <v/>
      </c>
      <c r="BO21" s="588" t="str">
        <f>IF(BM21="","",ROUNDDOWN(L21*VLOOKUP(K21,【参考】数式用!$A$4:$J$42,10,FALSE)*AA21,0))</f>
        <v/>
      </c>
      <c r="BP21" s="587" t="str">
        <f t="shared" si="24"/>
        <v/>
      </c>
      <c r="BQ21" s="587" t="str">
        <f t="shared" si="25"/>
        <v/>
      </c>
      <c r="BR21" s="589" t="str">
        <f t="shared" si="26"/>
        <v/>
      </c>
      <c r="BS21" s="589" t="str">
        <f t="shared" si="27"/>
        <v/>
      </c>
      <c r="BT21" s="587" t="str">
        <f t="shared" si="28"/>
        <v/>
      </c>
      <c r="BU21" s="588" t="str">
        <f>IF(BT21="Ⅱロ有り",ROUNDDOWN(L21*VLOOKUP(K21,【参考】数式用!$A$4:$J$42,10,FALSE)*AA21,0),"")</f>
        <v/>
      </c>
      <c r="BV21" s="587" t="str">
        <f>IF(BT21="Ⅱロなし",ROUNDDOWN(L21*VLOOKUP(K21,【参考】数式用!$A$4:$J$42,8,FALSE)*AA21,0),"")</f>
        <v/>
      </c>
    </row>
    <row r="22" spans="1:74" s="257" customFormat="1" ht="109.9" customHeight="1" thickBot="1">
      <c r="A22" s="303">
        <v>9</v>
      </c>
      <c r="B22" s="933" t="str">
        <f>IF(基本情報入力シート!B44="","",基本情報入力シート!B44)</f>
        <v/>
      </c>
      <c r="C22" s="934"/>
      <c r="D22" s="934"/>
      <c r="E22" s="934"/>
      <c r="F22" s="935"/>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49" t="str">
        <f>IF(基本情報入力シート!AF44=0, "",基本情報入力シート!AF44)</f>
        <v/>
      </c>
      <c r="M22" s="516" t="str">
        <f>IF('別紙様式2-2（個票（４、５月））'!M22="","",'別紙様式2-2（個票（４、５月））'!M22)</f>
        <v/>
      </c>
      <c r="N22" s="515" t="str">
        <f>IF('別紙様式2-2（個票（４、５月））'!N22="","",'別紙様式2-2（個票（４、５月））'!N22)</f>
        <v/>
      </c>
      <c r="O22" s="286"/>
      <c r="P22" s="546" t="str">
        <f>IFERROR(VLOOKUP(K22,【参考】数式用!$A$2:$M$57,MATCH(O22,【参考】数式用!$G$3:$M$3,0)+6,0),"")</f>
        <v/>
      </c>
      <c r="Q22" s="310" t="s">
        <v>118</v>
      </c>
      <c r="R22" s="308"/>
      <c r="S22" s="309" t="s">
        <v>183</v>
      </c>
      <c r="T22" s="308"/>
      <c r="U22" s="309" t="s">
        <v>184</v>
      </c>
      <c r="V22" s="308"/>
      <c r="W22" s="309" t="s">
        <v>183</v>
      </c>
      <c r="X22" s="308"/>
      <c r="Y22" s="309" t="s">
        <v>120</v>
      </c>
      <c r="Z22" s="309" t="s">
        <v>186</v>
      </c>
      <c r="AA22" s="309" t="str">
        <f t="shared" si="29"/>
        <v/>
      </c>
      <c r="AB22" s="305" t="s">
        <v>187</v>
      </c>
      <c r="AC22" s="306" t="str">
        <f t="shared" si="10"/>
        <v/>
      </c>
      <c r="AD22" s="507"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48" t="str">
        <f>IFERROR(VLOOKUP(K22,【参考】数式用!$A$2:$N$57,14,FALSE),"")</f>
        <v/>
      </c>
      <c r="AP22" s="548" t="str">
        <f t="shared" si="13"/>
        <v/>
      </c>
      <c r="AQ22" s="552" t="str">
        <f t="shared" si="1"/>
        <v/>
      </c>
      <c r="AR22" s="552" t="str">
        <f t="shared" si="30"/>
        <v>キャリアパス要件Ⅰ・Ⅱ_</v>
      </c>
      <c r="AS22" s="531" t="str">
        <f t="shared" si="2"/>
        <v>入力済</v>
      </c>
      <c r="AT22" s="548" t="str">
        <f t="shared" si="14"/>
        <v/>
      </c>
      <c r="AU22" s="531" t="str">
        <f t="shared" si="3"/>
        <v>入力済</v>
      </c>
      <c r="AV22" s="531" t="str">
        <f t="shared" si="4"/>
        <v/>
      </c>
      <c r="AW22" s="531" t="str">
        <f t="shared" si="15"/>
        <v/>
      </c>
      <c r="AX22" s="548" t="str">
        <f t="shared" si="5"/>
        <v/>
      </c>
      <c r="AY22" s="531" t="str">
        <f>IFERROR(VLOOKUP(K22,【参考】数式用!$AR$3:$AS$49, 2, FALSE), "")</f>
        <v/>
      </c>
      <c r="AZ22" s="548" t="str">
        <f t="shared" si="16"/>
        <v/>
      </c>
      <c r="BA22" s="551" t="str">
        <f t="shared" si="6"/>
        <v>入力済</v>
      </c>
      <c r="BB22" s="531" t="str">
        <f>IFERROR(VLOOKUP(K22,【参考】数式用!$AX$3:$AY$59, 2, FALSE), "")</f>
        <v/>
      </c>
      <c r="BC22" s="548" t="str">
        <f t="shared" si="17"/>
        <v/>
      </c>
      <c r="BD22" s="551" t="str">
        <f t="shared" si="7"/>
        <v>入力済</v>
      </c>
      <c r="BE22" s="551" t="str">
        <f t="shared" si="18"/>
        <v/>
      </c>
      <c r="BF22" s="551" t="str">
        <f t="shared" si="19"/>
        <v/>
      </c>
      <c r="BG22" s="551" t="str">
        <f t="shared" si="20"/>
        <v/>
      </c>
      <c r="BH22" s="551" t="str">
        <f t="shared" si="8"/>
        <v/>
      </c>
      <c r="BI22" s="551" t="str">
        <f t="shared" si="9"/>
        <v/>
      </c>
      <c r="BK22" s="590"/>
      <c r="BL22" s="587" t="str">
        <f t="shared" si="21"/>
        <v/>
      </c>
      <c r="BM22" s="587" t="str">
        <f t="shared" si="22"/>
        <v/>
      </c>
      <c r="BN22" s="587" t="str">
        <f t="shared" si="23"/>
        <v/>
      </c>
      <c r="BO22" s="588" t="str">
        <f>IF(BM22="","",ROUNDDOWN(L22*VLOOKUP(K22,【参考】数式用!$A$4:$J$42,10,FALSE)*AA22,0))</f>
        <v/>
      </c>
      <c r="BP22" s="587" t="str">
        <f t="shared" si="24"/>
        <v/>
      </c>
      <c r="BQ22" s="587" t="str">
        <f t="shared" si="25"/>
        <v/>
      </c>
      <c r="BR22" s="589" t="str">
        <f t="shared" si="26"/>
        <v/>
      </c>
      <c r="BS22" s="589" t="str">
        <f t="shared" si="27"/>
        <v/>
      </c>
      <c r="BT22" s="587" t="str">
        <f t="shared" si="28"/>
        <v/>
      </c>
      <c r="BU22" s="588" t="str">
        <f>IF(BT22="Ⅱロ有り",ROUNDDOWN(L22*VLOOKUP(K22,【参考】数式用!$A$4:$J$42,10,FALSE)*AA22,0),"")</f>
        <v/>
      </c>
      <c r="BV22" s="587" t="str">
        <f>IF(BT22="Ⅱロなし",ROUNDDOWN(L22*VLOOKUP(K22,【参考】数式用!$A$4:$J$42,8,FALSE)*AA22,0),"")</f>
        <v/>
      </c>
    </row>
    <row r="23" spans="1:74" s="257" customFormat="1" ht="109.9" customHeight="1" thickBot="1">
      <c r="A23" s="303">
        <v>10</v>
      </c>
      <c r="B23" s="933" t="str">
        <f>IF(基本情報入力シート!B45="","",基本情報入力シート!B45)</f>
        <v/>
      </c>
      <c r="C23" s="934"/>
      <c r="D23" s="934"/>
      <c r="E23" s="934"/>
      <c r="F23" s="935"/>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49" t="str">
        <f>IF(基本情報入力シート!AF45=0, "",基本情報入力シート!AF45)</f>
        <v/>
      </c>
      <c r="M23" s="516" t="str">
        <f>IF('別紙様式2-2（個票（４、５月））'!M23="","",'別紙様式2-2（個票（４、５月））'!M23)</f>
        <v/>
      </c>
      <c r="N23" s="515" t="str">
        <f>IF('別紙様式2-2（個票（４、５月））'!N23="","",'別紙様式2-2（個票（４、５月））'!N23)</f>
        <v/>
      </c>
      <c r="O23" s="286"/>
      <c r="P23" s="546" t="str">
        <f>IFERROR(VLOOKUP(K23,【参考】数式用!$A$2:$M$57,MATCH(O23,【参考】数式用!$G$3:$M$3,0)+6,0),"")</f>
        <v/>
      </c>
      <c r="Q23" s="310" t="s">
        <v>118</v>
      </c>
      <c r="R23" s="308"/>
      <c r="S23" s="309" t="s">
        <v>183</v>
      </c>
      <c r="T23" s="308"/>
      <c r="U23" s="309" t="s">
        <v>184</v>
      </c>
      <c r="V23" s="308"/>
      <c r="W23" s="309" t="s">
        <v>183</v>
      </c>
      <c r="X23" s="308"/>
      <c r="Y23" s="309" t="s">
        <v>185</v>
      </c>
      <c r="Z23" s="309" t="s">
        <v>186</v>
      </c>
      <c r="AA23" s="309" t="str">
        <f t="shared" si="29"/>
        <v/>
      </c>
      <c r="AB23" s="305" t="s">
        <v>187</v>
      </c>
      <c r="AC23" s="306" t="str">
        <f t="shared" si="10"/>
        <v/>
      </c>
      <c r="AD23" s="507"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48" t="str">
        <f>IFERROR(VLOOKUP(K23,【参考】数式用!$A$2:$N$57,14,FALSE),"")</f>
        <v/>
      </c>
      <c r="AP23" s="548" t="str">
        <f t="shared" si="13"/>
        <v/>
      </c>
      <c r="AQ23" s="552" t="str">
        <f t="shared" si="1"/>
        <v/>
      </c>
      <c r="AR23" s="552" t="str">
        <f t="shared" si="30"/>
        <v>キャリアパス要件Ⅰ・Ⅱ_</v>
      </c>
      <c r="AS23" s="531" t="str">
        <f t="shared" si="2"/>
        <v>入力済</v>
      </c>
      <c r="AT23" s="548" t="str">
        <f t="shared" si="14"/>
        <v/>
      </c>
      <c r="AU23" s="531" t="str">
        <f t="shared" si="3"/>
        <v>入力済</v>
      </c>
      <c r="AV23" s="531" t="str">
        <f t="shared" si="4"/>
        <v/>
      </c>
      <c r="AW23" s="531" t="str">
        <f t="shared" si="15"/>
        <v/>
      </c>
      <c r="AX23" s="548" t="str">
        <f t="shared" si="5"/>
        <v/>
      </c>
      <c r="AY23" s="531" t="str">
        <f>IFERROR(VLOOKUP(K23,【参考】数式用!$AR$3:$AS$49, 2, FALSE), "")</f>
        <v/>
      </c>
      <c r="AZ23" s="548" t="str">
        <f t="shared" si="16"/>
        <v/>
      </c>
      <c r="BA23" s="551" t="str">
        <f t="shared" si="6"/>
        <v>入力済</v>
      </c>
      <c r="BB23" s="531" t="str">
        <f>IFERROR(VLOOKUP(K23,【参考】数式用!$AX$3:$AY$59, 2, FALSE), "")</f>
        <v/>
      </c>
      <c r="BC23" s="548" t="str">
        <f t="shared" si="17"/>
        <v/>
      </c>
      <c r="BD23" s="551" t="str">
        <f t="shared" si="7"/>
        <v>入力済</v>
      </c>
      <c r="BE23" s="551" t="str">
        <f t="shared" si="18"/>
        <v/>
      </c>
      <c r="BF23" s="551" t="str">
        <f t="shared" si="19"/>
        <v/>
      </c>
      <c r="BG23" s="551" t="str">
        <f t="shared" si="20"/>
        <v/>
      </c>
      <c r="BH23" s="551" t="str">
        <f t="shared" si="8"/>
        <v/>
      </c>
      <c r="BI23" s="551" t="str">
        <f t="shared" si="9"/>
        <v/>
      </c>
      <c r="BK23" s="590"/>
      <c r="BL23" s="587" t="str">
        <f t="shared" si="21"/>
        <v/>
      </c>
      <c r="BM23" s="587" t="str">
        <f t="shared" si="22"/>
        <v/>
      </c>
      <c r="BN23" s="587" t="str">
        <f t="shared" si="23"/>
        <v/>
      </c>
      <c r="BO23" s="588" t="str">
        <f>IF(BM23="","",ROUNDDOWN(L23*VLOOKUP(K23,【参考】数式用!$A$4:$J$42,10,FALSE)*AA23,0))</f>
        <v/>
      </c>
      <c r="BP23" s="587" t="str">
        <f t="shared" si="24"/>
        <v/>
      </c>
      <c r="BQ23" s="587" t="str">
        <f t="shared" si="25"/>
        <v/>
      </c>
      <c r="BR23" s="589" t="str">
        <f t="shared" si="26"/>
        <v/>
      </c>
      <c r="BS23" s="589" t="str">
        <f t="shared" si="27"/>
        <v/>
      </c>
      <c r="BT23" s="587" t="str">
        <f t="shared" si="28"/>
        <v/>
      </c>
      <c r="BU23" s="588" t="str">
        <f>IF(BT23="Ⅱロ有り",ROUNDDOWN(L23*VLOOKUP(K23,【参考】数式用!$A$4:$J$42,10,FALSE)*AA23,0),"")</f>
        <v/>
      </c>
      <c r="BV23" s="587" t="str">
        <f>IF(BT23="Ⅱロなし",ROUNDDOWN(L23*VLOOKUP(K23,【参考】数式用!$A$4:$J$42,8,FALSE)*AA23,0),"")</f>
        <v/>
      </c>
    </row>
    <row r="24" spans="1:74" s="257" customFormat="1" ht="109.9" customHeight="1" thickBot="1">
      <c r="A24" s="303">
        <v>11</v>
      </c>
      <c r="B24" s="933" t="str">
        <f>IF(基本情報入力シート!B46="","",基本情報入力シート!B46)</f>
        <v/>
      </c>
      <c r="C24" s="934"/>
      <c r="D24" s="934"/>
      <c r="E24" s="934"/>
      <c r="F24" s="935"/>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49" t="str">
        <f>IF(基本情報入力シート!AF46=0, "",基本情報入力シート!AF46)</f>
        <v/>
      </c>
      <c r="M24" s="516" t="str">
        <f>IF('別紙様式2-2（個票（４、５月））'!M24="","",'別紙様式2-2（個票（４、５月））'!M24)</f>
        <v/>
      </c>
      <c r="N24" s="515" t="str">
        <f>IF('別紙様式2-2（個票（４、５月））'!N24="","",'別紙様式2-2（個票（４、５月））'!N24)</f>
        <v/>
      </c>
      <c r="O24" s="286"/>
      <c r="P24" s="546" t="str">
        <f>IFERROR(VLOOKUP(K24,【参考】数式用!$A$2:$M$57,MATCH(O24,【参考】数式用!$G$3:$M$3,0)+6,0),"")</f>
        <v/>
      </c>
      <c r="Q24" s="310" t="s">
        <v>118</v>
      </c>
      <c r="R24" s="308"/>
      <c r="S24" s="309" t="s">
        <v>183</v>
      </c>
      <c r="T24" s="308"/>
      <c r="U24" s="309" t="s">
        <v>184</v>
      </c>
      <c r="V24" s="308"/>
      <c r="W24" s="309" t="s">
        <v>183</v>
      </c>
      <c r="X24" s="308"/>
      <c r="Y24" s="309" t="s">
        <v>185</v>
      </c>
      <c r="Z24" s="309" t="s">
        <v>186</v>
      </c>
      <c r="AA24" s="309" t="str">
        <f t="shared" si="29"/>
        <v/>
      </c>
      <c r="AB24" s="305" t="s">
        <v>187</v>
      </c>
      <c r="AC24" s="306" t="str">
        <f t="shared" si="10"/>
        <v/>
      </c>
      <c r="AD24" s="507"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48" t="str">
        <f>IFERROR(VLOOKUP(K24,【参考】数式用!$A$2:$N$57,14,FALSE),"")</f>
        <v/>
      </c>
      <c r="AP24" s="548" t="str">
        <f t="shared" si="13"/>
        <v/>
      </c>
      <c r="AQ24" s="552" t="str">
        <f t="shared" si="1"/>
        <v/>
      </c>
      <c r="AR24" s="552" t="str">
        <f t="shared" si="30"/>
        <v>キャリアパス要件Ⅰ・Ⅱ_</v>
      </c>
      <c r="AS24" s="531" t="str">
        <f t="shared" si="2"/>
        <v>入力済</v>
      </c>
      <c r="AT24" s="548" t="str">
        <f t="shared" si="14"/>
        <v/>
      </c>
      <c r="AU24" s="531" t="str">
        <f t="shared" si="3"/>
        <v>入力済</v>
      </c>
      <c r="AV24" s="531" t="str">
        <f t="shared" si="4"/>
        <v/>
      </c>
      <c r="AW24" s="531" t="str">
        <f t="shared" si="15"/>
        <v/>
      </c>
      <c r="AX24" s="548" t="str">
        <f t="shared" si="5"/>
        <v/>
      </c>
      <c r="AY24" s="531" t="str">
        <f>IFERROR(VLOOKUP(K24,【参考】数式用!$AR$3:$AS$49, 2, FALSE), "")</f>
        <v/>
      </c>
      <c r="AZ24" s="548" t="str">
        <f t="shared" si="16"/>
        <v/>
      </c>
      <c r="BA24" s="551" t="str">
        <f t="shared" si="6"/>
        <v>入力済</v>
      </c>
      <c r="BB24" s="531" t="str">
        <f>IFERROR(VLOOKUP(K24,【参考】数式用!$AX$3:$AY$59, 2, FALSE), "")</f>
        <v/>
      </c>
      <c r="BC24" s="548" t="str">
        <f t="shared" si="17"/>
        <v/>
      </c>
      <c r="BD24" s="551" t="str">
        <f t="shared" si="7"/>
        <v>入力済</v>
      </c>
      <c r="BE24" s="551" t="str">
        <f t="shared" si="18"/>
        <v/>
      </c>
      <c r="BF24" s="551" t="str">
        <f t="shared" si="19"/>
        <v/>
      </c>
      <c r="BG24" s="551" t="str">
        <f t="shared" si="20"/>
        <v/>
      </c>
      <c r="BH24" s="551" t="str">
        <f t="shared" si="8"/>
        <v/>
      </c>
      <c r="BI24" s="551" t="str">
        <f t="shared" si="9"/>
        <v/>
      </c>
      <c r="BK24" s="590"/>
      <c r="BL24" s="587" t="str">
        <f t="shared" si="21"/>
        <v/>
      </c>
      <c r="BM24" s="587" t="str">
        <f t="shared" si="22"/>
        <v/>
      </c>
      <c r="BN24" s="587" t="str">
        <f t="shared" si="23"/>
        <v/>
      </c>
      <c r="BO24" s="588" t="str">
        <f>IF(BM24="","",ROUNDDOWN(L24*VLOOKUP(K24,【参考】数式用!$A$4:$J$42,10,FALSE)*AA24,0))</f>
        <v/>
      </c>
      <c r="BP24" s="587" t="str">
        <f t="shared" si="24"/>
        <v/>
      </c>
      <c r="BQ24" s="587" t="str">
        <f t="shared" si="25"/>
        <v/>
      </c>
      <c r="BR24" s="589" t="str">
        <f t="shared" si="26"/>
        <v/>
      </c>
      <c r="BS24" s="589" t="str">
        <f t="shared" si="27"/>
        <v/>
      </c>
      <c r="BT24" s="587" t="str">
        <f t="shared" si="28"/>
        <v/>
      </c>
      <c r="BU24" s="588" t="str">
        <f>IF(BT24="Ⅱロ有り",ROUNDDOWN(L24*VLOOKUP(K24,【参考】数式用!$A$4:$J$42,10,FALSE)*AA24,0),"")</f>
        <v/>
      </c>
      <c r="BV24" s="587" t="str">
        <f>IF(BT24="Ⅱロなし",ROUNDDOWN(L24*VLOOKUP(K24,【参考】数式用!$A$4:$J$42,8,FALSE)*AA24,0),"")</f>
        <v/>
      </c>
    </row>
    <row r="25" spans="1:74" s="257" customFormat="1" ht="109.9" customHeight="1" thickBot="1">
      <c r="A25" s="303">
        <v>12</v>
      </c>
      <c r="B25" s="933" t="str">
        <f>IF(基本情報入力シート!B47="","",基本情報入力シート!B47)</f>
        <v/>
      </c>
      <c r="C25" s="934"/>
      <c r="D25" s="934"/>
      <c r="E25" s="934"/>
      <c r="F25" s="935"/>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49" t="str">
        <f>IF(基本情報入力シート!AF47=0, "",基本情報入力シート!AF47)</f>
        <v/>
      </c>
      <c r="M25" s="516" t="str">
        <f>IF('別紙様式2-2（個票（４、５月））'!M25="","",'別紙様式2-2（個票（４、５月））'!M25)</f>
        <v/>
      </c>
      <c r="N25" s="515" t="str">
        <f>IF('別紙様式2-2（個票（４、５月））'!N25="","",'別紙様式2-2（個票（４、５月））'!N25)</f>
        <v/>
      </c>
      <c r="O25" s="286"/>
      <c r="P25" s="546" t="str">
        <f>IFERROR(VLOOKUP(K25,【参考】数式用!$A$2:$M$57,MATCH(O25,【参考】数式用!$G$3:$M$3,0)+6,0),"")</f>
        <v/>
      </c>
      <c r="Q25" s="310" t="s">
        <v>118</v>
      </c>
      <c r="R25" s="308"/>
      <c r="S25" s="309" t="s">
        <v>183</v>
      </c>
      <c r="T25" s="308"/>
      <c r="U25" s="309" t="s">
        <v>184</v>
      </c>
      <c r="V25" s="308"/>
      <c r="W25" s="309" t="s">
        <v>183</v>
      </c>
      <c r="X25" s="308"/>
      <c r="Y25" s="309" t="s">
        <v>185</v>
      </c>
      <c r="Z25" s="309" t="s">
        <v>186</v>
      </c>
      <c r="AA25" s="309" t="str">
        <f t="shared" si="29"/>
        <v/>
      </c>
      <c r="AB25" s="305" t="s">
        <v>187</v>
      </c>
      <c r="AC25" s="306" t="str">
        <f t="shared" si="10"/>
        <v/>
      </c>
      <c r="AD25" s="507"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48" t="str">
        <f>IFERROR(VLOOKUP(K25,【参考】数式用!$A$2:$N$57,14,FALSE),"")</f>
        <v/>
      </c>
      <c r="AP25" s="548" t="str">
        <f t="shared" si="13"/>
        <v/>
      </c>
      <c r="AQ25" s="552" t="str">
        <f t="shared" si="1"/>
        <v/>
      </c>
      <c r="AR25" s="552" t="str">
        <f t="shared" si="30"/>
        <v>キャリアパス要件Ⅰ・Ⅱ_</v>
      </c>
      <c r="AS25" s="531" t="str">
        <f t="shared" si="2"/>
        <v>入力済</v>
      </c>
      <c r="AT25" s="548" t="str">
        <f t="shared" si="14"/>
        <v/>
      </c>
      <c r="AU25" s="531" t="str">
        <f t="shared" si="3"/>
        <v>入力済</v>
      </c>
      <c r="AV25" s="531" t="str">
        <f t="shared" si="4"/>
        <v/>
      </c>
      <c r="AW25" s="531" t="str">
        <f t="shared" si="15"/>
        <v/>
      </c>
      <c r="AX25" s="548" t="str">
        <f t="shared" si="5"/>
        <v/>
      </c>
      <c r="AY25" s="531" t="str">
        <f>IFERROR(VLOOKUP(K25,【参考】数式用!$AR$3:$AS$49, 2, FALSE), "")</f>
        <v/>
      </c>
      <c r="AZ25" s="548" t="str">
        <f t="shared" si="16"/>
        <v/>
      </c>
      <c r="BA25" s="551" t="str">
        <f t="shared" si="6"/>
        <v>入力済</v>
      </c>
      <c r="BB25" s="531" t="str">
        <f>IFERROR(VLOOKUP(K25,【参考】数式用!$AX$3:$AY$59, 2, FALSE), "")</f>
        <v/>
      </c>
      <c r="BC25" s="548" t="str">
        <f t="shared" si="17"/>
        <v/>
      </c>
      <c r="BD25" s="551" t="str">
        <f t="shared" si="7"/>
        <v>入力済</v>
      </c>
      <c r="BE25" s="551" t="str">
        <f t="shared" si="18"/>
        <v/>
      </c>
      <c r="BF25" s="551" t="str">
        <f t="shared" si="19"/>
        <v/>
      </c>
      <c r="BG25" s="551" t="str">
        <f t="shared" si="20"/>
        <v/>
      </c>
      <c r="BH25" s="551" t="str">
        <f t="shared" si="8"/>
        <v/>
      </c>
      <c r="BI25" s="551" t="str">
        <f t="shared" si="9"/>
        <v/>
      </c>
      <c r="BK25" s="590"/>
      <c r="BL25" s="587" t="str">
        <f t="shared" si="21"/>
        <v/>
      </c>
      <c r="BM25" s="587" t="str">
        <f t="shared" si="22"/>
        <v/>
      </c>
      <c r="BN25" s="587" t="str">
        <f t="shared" si="23"/>
        <v/>
      </c>
      <c r="BO25" s="588" t="str">
        <f>IF(BM25="","",ROUNDDOWN(L25*VLOOKUP(K25,【参考】数式用!$A$4:$J$42,10,FALSE)*AA25,0))</f>
        <v/>
      </c>
      <c r="BP25" s="587" t="str">
        <f t="shared" si="24"/>
        <v/>
      </c>
      <c r="BQ25" s="587" t="str">
        <f t="shared" si="25"/>
        <v/>
      </c>
      <c r="BR25" s="589" t="str">
        <f t="shared" si="26"/>
        <v/>
      </c>
      <c r="BS25" s="589" t="str">
        <f t="shared" si="27"/>
        <v/>
      </c>
      <c r="BT25" s="587" t="str">
        <f t="shared" si="28"/>
        <v/>
      </c>
      <c r="BU25" s="588" t="str">
        <f>IF(BT25="Ⅱロ有り",ROUNDDOWN(L25*VLOOKUP(K25,【参考】数式用!$A$4:$J$42,10,FALSE)*AA25,0),"")</f>
        <v/>
      </c>
      <c r="BV25" s="587" t="str">
        <f>IF(BT25="Ⅱロなし",ROUNDDOWN(L25*VLOOKUP(K25,【参考】数式用!$A$4:$J$42,8,FALSE)*AA25,0),"")</f>
        <v/>
      </c>
    </row>
    <row r="26" spans="1:74" s="257" customFormat="1" ht="109.9" customHeight="1" thickBot="1">
      <c r="A26" s="303">
        <v>13</v>
      </c>
      <c r="B26" s="933" t="str">
        <f>IF(基本情報入力シート!B48="","",基本情報入力シート!B48)</f>
        <v/>
      </c>
      <c r="C26" s="934"/>
      <c r="D26" s="934"/>
      <c r="E26" s="934"/>
      <c r="F26" s="935"/>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49" t="str">
        <f>IF(基本情報入力シート!AF48=0, "",基本情報入力シート!AF48)</f>
        <v/>
      </c>
      <c r="M26" s="516" t="str">
        <f>IF('別紙様式2-2（個票（４、５月））'!M26="","",'別紙様式2-2（個票（４、５月））'!M26)</f>
        <v/>
      </c>
      <c r="N26" s="515" t="str">
        <f>IF('別紙様式2-2（個票（４、５月））'!N26="","",'別紙様式2-2（個票（４、５月））'!N26)</f>
        <v/>
      </c>
      <c r="O26" s="286"/>
      <c r="P26" s="546" t="str">
        <f>IFERROR(VLOOKUP(K26,【参考】数式用!$A$2:$M$57,MATCH(O26,【参考】数式用!$G$3:$M$3,0)+6,0),"")</f>
        <v/>
      </c>
      <c r="Q26" s="310" t="s">
        <v>118</v>
      </c>
      <c r="R26" s="308"/>
      <c r="S26" s="309" t="s">
        <v>183</v>
      </c>
      <c r="T26" s="308"/>
      <c r="U26" s="309" t="s">
        <v>184</v>
      </c>
      <c r="V26" s="308"/>
      <c r="W26" s="309" t="s">
        <v>183</v>
      </c>
      <c r="X26" s="308"/>
      <c r="Y26" s="309" t="s">
        <v>120</v>
      </c>
      <c r="Z26" s="309" t="s">
        <v>186</v>
      </c>
      <c r="AA26" s="309" t="str">
        <f t="shared" si="29"/>
        <v/>
      </c>
      <c r="AB26" s="305" t="s">
        <v>187</v>
      </c>
      <c r="AC26" s="306" t="str">
        <f t="shared" si="10"/>
        <v/>
      </c>
      <c r="AD26" s="507"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48" t="str">
        <f>IFERROR(VLOOKUP(K26,【参考】数式用!$A$2:$N$57,14,FALSE),"")</f>
        <v/>
      </c>
      <c r="AP26" s="548" t="str">
        <f t="shared" si="13"/>
        <v/>
      </c>
      <c r="AQ26" s="552" t="str">
        <f t="shared" si="1"/>
        <v/>
      </c>
      <c r="AR26" s="552" t="str">
        <f t="shared" si="30"/>
        <v>キャリアパス要件Ⅰ・Ⅱ_</v>
      </c>
      <c r="AS26" s="531" t="str">
        <f t="shared" si="2"/>
        <v>入力済</v>
      </c>
      <c r="AT26" s="548" t="str">
        <f t="shared" si="14"/>
        <v/>
      </c>
      <c r="AU26" s="531" t="str">
        <f t="shared" si="3"/>
        <v>入力済</v>
      </c>
      <c r="AV26" s="531" t="str">
        <f t="shared" si="4"/>
        <v/>
      </c>
      <c r="AW26" s="531" t="str">
        <f t="shared" si="15"/>
        <v/>
      </c>
      <c r="AX26" s="548" t="str">
        <f t="shared" si="5"/>
        <v/>
      </c>
      <c r="AY26" s="531" t="str">
        <f>IFERROR(VLOOKUP(K26,【参考】数式用!$AR$3:$AS$49, 2, FALSE), "")</f>
        <v/>
      </c>
      <c r="AZ26" s="548" t="str">
        <f t="shared" si="16"/>
        <v/>
      </c>
      <c r="BA26" s="551" t="str">
        <f t="shared" si="6"/>
        <v>入力済</v>
      </c>
      <c r="BB26" s="531" t="str">
        <f>IFERROR(VLOOKUP(K26,【参考】数式用!$AX$3:$AY$59, 2, FALSE), "")</f>
        <v/>
      </c>
      <c r="BC26" s="548" t="str">
        <f t="shared" si="17"/>
        <v/>
      </c>
      <c r="BD26" s="551" t="str">
        <f t="shared" si="7"/>
        <v>入力済</v>
      </c>
      <c r="BE26" s="551" t="str">
        <f t="shared" si="18"/>
        <v/>
      </c>
      <c r="BF26" s="551" t="str">
        <f t="shared" si="19"/>
        <v/>
      </c>
      <c r="BG26" s="551" t="str">
        <f t="shared" si="20"/>
        <v/>
      </c>
      <c r="BH26" s="551" t="str">
        <f t="shared" si="8"/>
        <v/>
      </c>
      <c r="BI26" s="551" t="str">
        <f t="shared" si="9"/>
        <v/>
      </c>
      <c r="BK26" s="590"/>
      <c r="BL26" s="587" t="str">
        <f t="shared" si="21"/>
        <v/>
      </c>
      <c r="BM26" s="587" t="str">
        <f t="shared" si="22"/>
        <v/>
      </c>
      <c r="BN26" s="587" t="str">
        <f t="shared" si="23"/>
        <v/>
      </c>
      <c r="BO26" s="588" t="str">
        <f>IF(BM26="","",ROUNDDOWN(L26*VLOOKUP(K26,【参考】数式用!$A$4:$J$42,10,FALSE)*AA26,0))</f>
        <v/>
      </c>
      <c r="BP26" s="587" t="str">
        <f t="shared" si="24"/>
        <v/>
      </c>
      <c r="BQ26" s="587" t="str">
        <f t="shared" si="25"/>
        <v/>
      </c>
      <c r="BR26" s="589" t="str">
        <f t="shared" si="26"/>
        <v/>
      </c>
      <c r="BS26" s="589" t="str">
        <f t="shared" si="27"/>
        <v/>
      </c>
      <c r="BT26" s="587" t="str">
        <f t="shared" si="28"/>
        <v/>
      </c>
      <c r="BU26" s="588" t="str">
        <f>IF(BT26="Ⅱロ有り",ROUNDDOWN(L26*VLOOKUP(K26,【参考】数式用!$A$4:$J$42,10,FALSE)*AA26,0),"")</f>
        <v/>
      </c>
      <c r="BV26" s="587" t="str">
        <f>IF(BT26="Ⅱロなし",ROUNDDOWN(L26*VLOOKUP(K26,【参考】数式用!$A$4:$J$42,8,FALSE)*AA26,0),"")</f>
        <v/>
      </c>
    </row>
    <row r="27" spans="1:74" s="257" customFormat="1" ht="109.9" customHeight="1" thickBot="1">
      <c r="A27" s="303">
        <v>14</v>
      </c>
      <c r="B27" s="933" t="str">
        <f>IF(基本情報入力シート!B49="","",基本情報入力シート!B49)</f>
        <v/>
      </c>
      <c r="C27" s="934"/>
      <c r="D27" s="934"/>
      <c r="E27" s="934"/>
      <c r="F27" s="935"/>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49" t="str">
        <f>IF(基本情報入力シート!AF49=0, "",基本情報入力シート!AF49)</f>
        <v/>
      </c>
      <c r="M27" s="516" t="str">
        <f>IF('別紙様式2-2（個票（４、５月））'!M27="","",'別紙様式2-2（個票（４、５月））'!M27)</f>
        <v/>
      </c>
      <c r="N27" s="515" t="str">
        <f>IF('別紙様式2-2（個票（４、５月））'!N27="","",'別紙様式2-2（個票（４、５月））'!N27)</f>
        <v/>
      </c>
      <c r="O27" s="286"/>
      <c r="P27" s="546" t="str">
        <f>IFERROR(VLOOKUP(K27,【参考】数式用!$A$2:$M$57,MATCH(O27,【参考】数式用!$G$3:$M$3,0)+6,0),"")</f>
        <v/>
      </c>
      <c r="Q27" s="310" t="s">
        <v>118</v>
      </c>
      <c r="R27" s="308"/>
      <c r="S27" s="309" t="s">
        <v>183</v>
      </c>
      <c r="T27" s="308"/>
      <c r="U27" s="309" t="s">
        <v>184</v>
      </c>
      <c r="V27" s="308"/>
      <c r="W27" s="309" t="s">
        <v>183</v>
      </c>
      <c r="X27" s="308"/>
      <c r="Y27" s="309" t="s">
        <v>120</v>
      </c>
      <c r="Z27" s="309" t="s">
        <v>186</v>
      </c>
      <c r="AA27" s="309" t="str">
        <f t="shared" si="29"/>
        <v/>
      </c>
      <c r="AB27" s="305" t="s">
        <v>187</v>
      </c>
      <c r="AC27" s="306" t="str">
        <f t="shared" si="10"/>
        <v/>
      </c>
      <c r="AD27" s="507"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48" t="str">
        <f>IFERROR(VLOOKUP(K27,【参考】数式用!$A$2:$N$57,14,FALSE),"")</f>
        <v/>
      </c>
      <c r="AP27" s="548" t="str">
        <f t="shared" si="13"/>
        <v/>
      </c>
      <c r="AQ27" s="552" t="str">
        <f t="shared" si="1"/>
        <v/>
      </c>
      <c r="AR27" s="552" t="str">
        <f t="shared" si="30"/>
        <v>キャリアパス要件Ⅰ・Ⅱ_</v>
      </c>
      <c r="AS27" s="531" t="str">
        <f t="shared" si="2"/>
        <v>入力済</v>
      </c>
      <c r="AT27" s="548" t="str">
        <f t="shared" si="14"/>
        <v/>
      </c>
      <c r="AU27" s="531" t="str">
        <f t="shared" si="3"/>
        <v>入力済</v>
      </c>
      <c r="AV27" s="531" t="str">
        <f t="shared" si="4"/>
        <v/>
      </c>
      <c r="AW27" s="531" t="str">
        <f t="shared" si="15"/>
        <v/>
      </c>
      <c r="AX27" s="548" t="str">
        <f t="shared" si="5"/>
        <v/>
      </c>
      <c r="AY27" s="531" t="str">
        <f>IFERROR(VLOOKUP(K27,【参考】数式用!$AR$3:$AS$49, 2, FALSE), "")</f>
        <v/>
      </c>
      <c r="AZ27" s="548" t="str">
        <f t="shared" si="16"/>
        <v/>
      </c>
      <c r="BA27" s="551" t="str">
        <f t="shared" si="6"/>
        <v>入力済</v>
      </c>
      <c r="BB27" s="531" t="str">
        <f>IFERROR(VLOOKUP(K27,【参考】数式用!$AX$3:$AY$59, 2, FALSE), "")</f>
        <v/>
      </c>
      <c r="BC27" s="548" t="str">
        <f t="shared" si="17"/>
        <v/>
      </c>
      <c r="BD27" s="551" t="str">
        <f t="shared" si="7"/>
        <v>入力済</v>
      </c>
      <c r="BE27" s="551" t="str">
        <f t="shared" si="18"/>
        <v/>
      </c>
      <c r="BF27" s="551" t="str">
        <f t="shared" si="19"/>
        <v/>
      </c>
      <c r="BG27" s="551" t="str">
        <f t="shared" si="20"/>
        <v/>
      </c>
      <c r="BH27" s="551" t="str">
        <f t="shared" si="8"/>
        <v/>
      </c>
      <c r="BI27" s="551" t="str">
        <f t="shared" si="9"/>
        <v/>
      </c>
      <c r="BK27" s="590"/>
      <c r="BL27" s="587" t="str">
        <f t="shared" si="21"/>
        <v/>
      </c>
      <c r="BM27" s="587" t="str">
        <f t="shared" si="22"/>
        <v/>
      </c>
      <c r="BN27" s="587" t="str">
        <f t="shared" si="23"/>
        <v/>
      </c>
      <c r="BO27" s="588" t="str">
        <f>IF(BM27="","",ROUNDDOWN(L27*VLOOKUP(K27,【参考】数式用!$A$4:$J$42,10,FALSE)*AA27,0))</f>
        <v/>
      </c>
      <c r="BP27" s="587" t="str">
        <f t="shared" si="24"/>
        <v/>
      </c>
      <c r="BQ27" s="587" t="str">
        <f t="shared" si="25"/>
        <v/>
      </c>
      <c r="BR27" s="589" t="str">
        <f t="shared" si="26"/>
        <v/>
      </c>
      <c r="BS27" s="589" t="str">
        <f t="shared" si="27"/>
        <v/>
      </c>
      <c r="BT27" s="587" t="str">
        <f t="shared" si="28"/>
        <v/>
      </c>
      <c r="BU27" s="588" t="str">
        <f>IF(BT27="Ⅱロ有り",ROUNDDOWN(L27*VLOOKUP(K27,【参考】数式用!$A$4:$J$42,10,FALSE)*AA27,0),"")</f>
        <v/>
      </c>
      <c r="BV27" s="587" t="str">
        <f>IF(BT27="Ⅱロなし",ROUNDDOWN(L27*VLOOKUP(K27,【参考】数式用!$A$4:$J$42,8,FALSE)*AA27,0),"")</f>
        <v/>
      </c>
    </row>
    <row r="28" spans="1:74" s="257" customFormat="1" ht="109.9" customHeight="1" thickBot="1">
      <c r="A28" s="303">
        <v>15</v>
      </c>
      <c r="B28" s="933" t="str">
        <f>IF(基本情報入力シート!B50="","",基本情報入力シート!B50)</f>
        <v/>
      </c>
      <c r="C28" s="934"/>
      <c r="D28" s="934"/>
      <c r="E28" s="934"/>
      <c r="F28" s="935"/>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49" t="str">
        <f>IF(基本情報入力シート!AF50=0, "",基本情報入力シート!AF50)</f>
        <v/>
      </c>
      <c r="M28" s="516" t="str">
        <f>IF('別紙様式2-2（個票（４、５月））'!M28="","",'別紙様式2-2（個票（４、５月））'!M28)</f>
        <v/>
      </c>
      <c r="N28" s="515" t="str">
        <f>IF('別紙様式2-2（個票（４、５月））'!N28="","",'別紙様式2-2（個票（４、５月））'!N28)</f>
        <v/>
      </c>
      <c r="O28" s="286"/>
      <c r="P28" s="546" t="str">
        <f>IFERROR(VLOOKUP(K28,【参考】数式用!$A$2:$M$57,MATCH(O28,【参考】数式用!$G$3:$M$3,0)+6,0),"")</f>
        <v/>
      </c>
      <c r="Q28" s="310" t="s">
        <v>118</v>
      </c>
      <c r="R28" s="308"/>
      <c r="S28" s="309" t="s">
        <v>183</v>
      </c>
      <c r="T28" s="308"/>
      <c r="U28" s="309" t="s">
        <v>184</v>
      </c>
      <c r="V28" s="308"/>
      <c r="W28" s="309" t="s">
        <v>183</v>
      </c>
      <c r="X28" s="308"/>
      <c r="Y28" s="309" t="s">
        <v>185</v>
      </c>
      <c r="Z28" s="309" t="s">
        <v>186</v>
      </c>
      <c r="AA28" s="309" t="str">
        <f t="shared" si="29"/>
        <v/>
      </c>
      <c r="AB28" s="305" t="s">
        <v>187</v>
      </c>
      <c r="AC28" s="306" t="str">
        <f t="shared" si="10"/>
        <v/>
      </c>
      <c r="AD28" s="507"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48" t="str">
        <f>IFERROR(VLOOKUP(K28,【参考】数式用!$A$2:$N$57,14,FALSE),"")</f>
        <v/>
      </c>
      <c r="AP28" s="548" t="str">
        <f t="shared" si="13"/>
        <v/>
      </c>
      <c r="AQ28" s="552" t="str">
        <f t="shared" si="1"/>
        <v/>
      </c>
      <c r="AR28" s="552" t="str">
        <f t="shared" si="30"/>
        <v>キャリアパス要件Ⅰ・Ⅱ_</v>
      </c>
      <c r="AS28" s="531" t="str">
        <f t="shared" si="2"/>
        <v>入力済</v>
      </c>
      <c r="AT28" s="548" t="str">
        <f t="shared" si="14"/>
        <v/>
      </c>
      <c r="AU28" s="531" t="str">
        <f t="shared" si="3"/>
        <v>入力済</v>
      </c>
      <c r="AV28" s="531" t="str">
        <f t="shared" si="4"/>
        <v/>
      </c>
      <c r="AW28" s="531" t="str">
        <f t="shared" si="15"/>
        <v/>
      </c>
      <c r="AX28" s="548" t="str">
        <f t="shared" si="5"/>
        <v/>
      </c>
      <c r="AY28" s="531" t="str">
        <f>IFERROR(VLOOKUP(K28,【参考】数式用!$AR$3:$AS$49, 2, FALSE), "")</f>
        <v/>
      </c>
      <c r="AZ28" s="548" t="str">
        <f t="shared" si="16"/>
        <v/>
      </c>
      <c r="BA28" s="551" t="str">
        <f t="shared" si="6"/>
        <v>入力済</v>
      </c>
      <c r="BB28" s="531" t="str">
        <f>IFERROR(VLOOKUP(K28,【参考】数式用!$AX$3:$AY$59, 2, FALSE), "")</f>
        <v/>
      </c>
      <c r="BC28" s="548" t="str">
        <f t="shared" si="17"/>
        <v/>
      </c>
      <c r="BD28" s="551" t="str">
        <f t="shared" si="7"/>
        <v>入力済</v>
      </c>
      <c r="BE28" s="551" t="str">
        <f t="shared" si="18"/>
        <v/>
      </c>
      <c r="BF28" s="551" t="str">
        <f t="shared" si="19"/>
        <v/>
      </c>
      <c r="BG28" s="551" t="str">
        <f t="shared" si="20"/>
        <v/>
      </c>
      <c r="BH28" s="551" t="str">
        <f t="shared" si="8"/>
        <v/>
      </c>
      <c r="BI28" s="551" t="str">
        <f t="shared" si="9"/>
        <v/>
      </c>
      <c r="BK28" s="590"/>
      <c r="BL28" s="587" t="str">
        <f t="shared" si="21"/>
        <v/>
      </c>
      <c r="BM28" s="587" t="str">
        <f t="shared" si="22"/>
        <v/>
      </c>
      <c r="BN28" s="587" t="str">
        <f t="shared" si="23"/>
        <v/>
      </c>
      <c r="BO28" s="588" t="str">
        <f>IF(BM28="","",ROUNDDOWN(L28*VLOOKUP(K28,【参考】数式用!$A$4:$J$42,10,FALSE)*AA28,0))</f>
        <v/>
      </c>
      <c r="BP28" s="587" t="str">
        <f t="shared" si="24"/>
        <v/>
      </c>
      <c r="BQ28" s="587" t="str">
        <f t="shared" si="25"/>
        <v/>
      </c>
      <c r="BR28" s="589" t="str">
        <f t="shared" si="26"/>
        <v/>
      </c>
      <c r="BS28" s="589" t="str">
        <f t="shared" si="27"/>
        <v/>
      </c>
      <c r="BT28" s="587" t="str">
        <f t="shared" si="28"/>
        <v/>
      </c>
      <c r="BU28" s="588" t="str">
        <f>IF(BT28="Ⅱロ有り",ROUNDDOWN(L28*VLOOKUP(K28,【参考】数式用!$A$4:$J$42,10,FALSE)*AA28,0),"")</f>
        <v/>
      </c>
      <c r="BV28" s="587" t="str">
        <f>IF(BT28="Ⅱロなし",ROUNDDOWN(L28*VLOOKUP(K28,【参考】数式用!$A$4:$J$42,8,FALSE)*AA28,0),"")</f>
        <v/>
      </c>
    </row>
    <row r="29" spans="1:74" s="257" customFormat="1" ht="109.9" customHeight="1" thickBot="1">
      <c r="A29" s="303">
        <v>16</v>
      </c>
      <c r="B29" s="933" t="str">
        <f>IF(基本情報入力シート!B51="","",基本情報入力シート!B51)</f>
        <v/>
      </c>
      <c r="C29" s="934"/>
      <c r="D29" s="934"/>
      <c r="E29" s="934"/>
      <c r="F29" s="935"/>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49" t="str">
        <f>IF(基本情報入力シート!AF51=0, "",基本情報入力シート!AF51)</f>
        <v/>
      </c>
      <c r="M29" s="516" t="str">
        <f>IF('別紙様式2-2（個票（４、５月））'!M29="","",'別紙様式2-2（個票（４、５月））'!M29)</f>
        <v/>
      </c>
      <c r="N29" s="515" t="str">
        <f>IF('別紙様式2-2（個票（４、５月））'!N29="","",'別紙様式2-2（個票（４、５月））'!N29)</f>
        <v/>
      </c>
      <c r="O29" s="286"/>
      <c r="P29" s="546" t="str">
        <f>IFERROR(VLOOKUP(K29,【参考】数式用!$A$2:$M$57,MATCH(O29,【参考】数式用!$G$3:$M$3,0)+6,0),"")</f>
        <v/>
      </c>
      <c r="Q29" s="310" t="s">
        <v>118</v>
      </c>
      <c r="R29" s="308"/>
      <c r="S29" s="309" t="s">
        <v>183</v>
      </c>
      <c r="T29" s="308"/>
      <c r="U29" s="309" t="s">
        <v>184</v>
      </c>
      <c r="V29" s="308"/>
      <c r="W29" s="309" t="s">
        <v>183</v>
      </c>
      <c r="X29" s="308"/>
      <c r="Y29" s="309" t="s">
        <v>185</v>
      </c>
      <c r="Z29" s="309" t="s">
        <v>186</v>
      </c>
      <c r="AA29" s="309" t="str">
        <f t="shared" si="29"/>
        <v/>
      </c>
      <c r="AB29" s="305" t="s">
        <v>187</v>
      </c>
      <c r="AC29" s="306" t="str">
        <f t="shared" si="10"/>
        <v/>
      </c>
      <c r="AD29" s="507"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48" t="str">
        <f>IFERROR(VLOOKUP(K29,【参考】数式用!$A$2:$N$57,14,FALSE),"")</f>
        <v/>
      </c>
      <c r="AP29" s="548" t="str">
        <f t="shared" si="13"/>
        <v/>
      </c>
      <c r="AQ29" s="552" t="str">
        <f t="shared" si="1"/>
        <v/>
      </c>
      <c r="AR29" s="552" t="str">
        <f t="shared" si="30"/>
        <v>キャリアパス要件Ⅰ・Ⅱ_</v>
      </c>
      <c r="AS29" s="531" t="str">
        <f t="shared" si="2"/>
        <v>入力済</v>
      </c>
      <c r="AT29" s="548" t="str">
        <f t="shared" si="14"/>
        <v/>
      </c>
      <c r="AU29" s="531" t="str">
        <f t="shared" si="3"/>
        <v>入力済</v>
      </c>
      <c r="AV29" s="531" t="str">
        <f t="shared" si="4"/>
        <v/>
      </c>
      <c r="AW29" s="531" t="str">
        <f t="shared" si="15"/>
        <v/>
      </c>
      <c r="AX29" s="548" t="str">
        <f t="shared" si="5"/>
        <v/>
      </c>
      <c r="AY29" s="531" t="str">
        <f>IFERROR(VLOOKUP(K29,【参考】数式用!$AR$3:$AS$49, 2, FALSE), "")</f>
        <v/>
      </c>
      <c r="AZ29" s="548" t="str">
        <f t="shared" si="16"/>
        <v/>
      </c>
      <c r="BA29" s="551" t="str">
        <f t="shared" si="6"/>
        <v>入力済</v>
      </c>
      <c r="BB29" s="531" t="str">
        <f>IFERROR(VLOOKUP(K29,【参考】数式用!$AX$3:$AY$59, 2, FALSE), "")</f>
        <v/>
      </c>
      <c r="BC29" s="548" t="str">
        <f t="shared" si="17"/>
        <v/>
      </c>
      <c r="BD29" s="551" t="str">
        <f t="shared" si="7"/>
        <v>入力済</v>
      </c>
      <c r="BE29" s="551" t="str">
        <f t="shared" si="18"/>
        <v/>
      </c>
      <c r="BF29" s="551" t="str">
        <f t="shared" si="19"/>
        <v/>
      </c>
      <c r="BG29" s="551" t="str">
        <f t="shared" si="20"/>
        <v/>
      </c>
      <c r="BH29" s="551" t="str">
        <f t="shared" si="8"/>
        <v/>
      </c>
      <c r="BI29" s="551" t="str">
        <f t="shared" si="9"/>
        <v/>
      </c>
      <c r="BK29" s="590"/>
      <c r="BL29" s="587" t="str">
        <f t="shared" si="21"/>
        <v/>
      </c>
      <c r="BM29" s="587" t="str">
        <f t="shared" si="22"/>
        <v/>
      </c>
      <c r="BN29" s="587" t="str">
        <f t="shared" si="23"/>
        <v/>
      </c>
      <c r="BO29" s="588" t="str">
        <f>IF(BM29="","",ROUNDDOWN(L29*VLOOKUP(K29,【参考】数式用!$A$4:$J$42,10,FALSE)*AA29,0))</f>
        <v/>
      </c>
      <c r="BP29" s="587" t="str">
        <f t="shared" si="24"/>
        <v/>
      </c>
      <c r="BQ29" s="587" t="str">
        <f t="shared" si="25"/>
        <v/>
      </c>
      <c r="BR29" s="589" t="str">
        <f t="shared" si="26"/>
        <v/>
      </c>
      <c r="BS29" s="589" t="str">
        <f t="shared" si="27"/>
        <v/>
      </c>
      <c r="BT29" s="587" t="str">
        <f t="shared" si="28"/>
        <v/>
      </c>
      <c r="BU29" s="588" t="str">
        <f>IF(BT29="Ⅱロ有り",ROUNDDOWN(L29*VLOOKUP(K29,【参考】数式用!$A$4:$J$42,10,FALSE)*AA29,0),"")</f>
        <v/>
      </c>
      <c r="BV29" s="587" t="str">
        <f>IF(BT29="Ⅱロなし",ROUNDDOWN(L29*VLOOKUP(K29,【参考】数式用!$A$4:$J$42,8,FALSE)*AA29,0),"")</f>
        <v/>
      </c>
    </row>
    <row r="30" spans="1:74" s="257" customFormat="1" ht="109.9" customHeight="1" thickBot="1">
      <c r="A30" s="303">
        <v>17</v>
      </c>
      <c r="B30" s="933" t="str">
        <f>IF(基本情報入力シート!B52="","",基本情報入力シート!B52)</f>
        <v/>
      </c>
      <c r="C30" s="934"/>
      <c r="D30" s="934"/>
      <c r="E30" s="934"/>
      <c r="F30" s="935"/>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49" t="str">
        <f>IF(基本情報入力シート!AF52=0, "",基本情報入力シート!AF52)</f>
        <v/>
      </c>
      <c r="M30" s="516" t="str">
        <f>IF('別紙様式2-2（個票（４、５月））'!M30="","",'別紙様式2-2（個票（４、５月））'!M30)</f>
        <v/>
      </c>
      <c r="N30" s="515" t="str">
        <f>IF('別紙様式2-2（個票（４、５月））'!N30="","",'別紙様式2-2（個票（４、５月））'!N30)</f>
        <v/>
      </c>
      <c r="O30" s="286"/>
      <c r="P30" s="546" t="str">
        <f>IFERROR(VLOOKUP(K30,【参考】数式用!$A$2:$M$57,MATCH(O30,【参考】数式用!$G$3:$M$3,0)+6,0),"")</f>
        <v/>
      </c>
      <c r="Q30" s="310" t="s">
        <v>118</v>
      </c>
      <c r="R30" s="308"/>
      <c r="S30" s="309" t="s">
        <v>183</v>
      </c>
      <c r="T30" s="308"/>
      <c r="U30" s="309" t="s">
        <v>184</v>
      </c>
      <c r="V30" s="308"/>
      <c r="W30" s="309" t="s">
        <v>183</v>
      </c>
      <c r="X30" s="308"/>
      <c r="Y30" s="309" t="s">
        <v>185</v>
      </c>
      <c r="Z30" s="309" t="s">
        <v>186</v>
      </c>
      <c r="AA30" s="309" t="str">
        <f t="shared" si="29"/>
        <v/>
      </c>
      <c r="AB30" s="305" t="s">
        <v>187</v>
      </c>
      <c r="AC30" s="306" t="str">
        <f t="shared" si="10"/>
        <v/>
      </c>
      <c r="AD30" s="507"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48" t="str">
        <f>IFERROR(VLOOKUP(K30,【参考】数式用!$A$2:$N$57,14,FALSE),"")</f>
        <v/>
      </c>
      <c r="AP30" s="548" t="str">
        <f t="shared" si="13"/>
        <v/>
      </c>
      <c r="AQ30" s="552" t="str">
        <f t="shared" si="1"/>
        <v/>
      </c>
      <c r="AR30" s="552" t="str">
        <f t="shared" si="30"/>
        <v>キャリアパス要件Ⅰ・Ⅱ_</v>
      </c>
      <c r="AS30" s="531" t="str">
        <f t="shared" si="2"/>
        <v>入力済</v>
      </c>
      <c r="AT30" s="548" t="str">
        <f t="shared" si="14"/>
        <v/>
      </c>
      <c r="AU30" s="531" t="str">
        <f t="shared" si="3"/>
        <v>入力済</v>
      </c>
      <c r="AV30" s="531" t="str">
        <f t="shared" si="4"/>
        <v/>
      </c>
      <c r="AW30" s="531" t="str">
        <f t="shared" si="15"/>
        <v/>
      </c>
      <c r="AX30" s="548" t="str">
        <f t="shared" si="5"/>
        <v/>
      </c>
      <c r="AY30" s="531" t="str">
        <f>IFERROR(VLOOKUP(K30,【参考】数式用!$AR$3:$AS$49, 2, FALSE), "")</f>
        <v/>
      </c>
      <c r="AZ30" s="548" t="str">
        <f t="shared" si="16"/>
        <v/>
      </c>
      <c r="BA30" s="551" t="str">
        <f t="shared" si="6"/>
        <v>入力済</v>
      </c>
      <c r="BB30" s="531" t="str">
        <f>IFERROR(VLOOKUP(K30,【参考】数式用!$AX$3:$AY$59, 2, FALSE), "")</f>
        <v/>
      </c>
      <c r="BC30" s="548" t="str">
        <f t="shared" si="17"/>
        <v/>
      </c>
      <c r="BD30" s="551" t="str">
        <f t="shared" si="7"/>
        <v>入力済</v>
      </c>
      <c r="BE30" s="551" t="str">
        <f t="shared" si="18"/>
        <v/>
      </c>
      <c r="BF30" s="551" t="str">
        <f t="shared" si="19"/>
        <v/>
      </c>
      <c r="BG30" s="551" t="str">
        <f t="shared" si="20"/>
        <v/>
      </c>
      <c r="BH30" s="551" t="str">
        <f t="shared" si="8"/>
        <v/>
      </c>
      <c r="BI30" s="551" t="str">
        <f t="shared" si="9"/>
        <v/>
      </c>
      <c r="BK30" s="590"/>
      <c r="BL30" s="587" t="str">
        <f t="shared" si="21"/>
        <v/>
      </c>
      <c r="BM30" s="587" t="str">
        <f t="shared" si="22"/>
        <v/>
      </c>
      <c r="BN30" s="587" t="str">
        <f t="shared" si="23"/>
        <v/>
      </c>
      <c r="BO30" s="588" t="str">
        <f>IF(BM30="","",ROUNDDOWN(L30*VLOOKUP(K30,【参考】数式用!$A$4:$J$42,10,FALSE)*AA30,0))</f>
        <v/>
      </c>
      <c r="BP30" s="587" t="str">
        <f t="shared" si="24"/>
        <v/>
      </c>
      <c r="BQ30" s="587" t="str">
        <f t="shared" si="25"/>
        <v/>
      </c>
      <c r="BR30" s="589" t="str">
        <f t="shared" si="26"/>
        <v/>
      </c>
      <c r="BS30" s="589" t="str">
        <f t="shared" si="27"/>
        <v/>
      </c>
      <c r="BT30" s="587" t="str">
        <f t="shared" si="28"/>
        <v/>
      </c>
      <c r="BU30" s="588" t="str">
        <f>IF(BT30="Ⅱロ有り",ROUNDDOWN(L30*VLOOKUP(K30,【参考】数式用!$A$4:$J$42,10,FALSE)*AA30,0),"")</f>
        <v/>
      </c>
      <c r="BV30" s="587" t="str">
        <f>IF(BT30="Ⅱロなし",ROUNDDOWN(L30*VLOOKUP(K30,【参考】数式用!$A$4:$J$42,8,FALSE)*AA30,0),"")</f>
        <v/>
      </c>
    </row>
    <row r="31" spans="1:74" s="257" customFormat="1" ht="109.9" customHeight="1" thickBot="1">
      <c r="A31" s="303">
        <v>18</v>
      </c>
      <c r="B31" s="933" t="str">
        <f>IF(基本情報入力シート!B53="","",基本情報入力シート!B53)</f>
        <v/>
      </c>
      <c r="C31" s="934"/>
      <c r="D31" s="934"/>
      <c r="E31" s="934"/>
      <c r="F31" s="935"/>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49" t="str">
        <f>IF(基本情報入力シート!AF53=0, "",基本情報入力シート!AF53)</f>
        <v/>
      </c>
      <c r="M31" s="516" t="str">
        <f>IF('別紙様式2-2（個票（４、５月））'!M31="","",'別紙様式2-2（個票（４、５月））'!M31)</f>
        <v/>
      </c>
      <c r="N31" s="515" t="str">
        <f>IF('別紙様式2-2（個票（４、５月））'!N31="","",'別紙様式2-2（個票（４、５月））'!N31)</f>
        <v/>
      </c>
      <c r="O31" s="286"/>
      <c r="P31" s="546" t="str">
        <f>IFERROR(VLOOKUP(K31,【参考】数式用!$A$2:$M$57,MATCH(O31,【参考】数式用!$G$3:$M$3,0)+6,0),"")</f>
        <v/>
      </c>
      <c r="Q31" s="310" t="s">
        <v>118</v>
      </c>
      <c r="R31" s="308"/>
      <c r="S31" s="309" t="s">
        <v>183</v>
      </c>
      <c r="T31" s="308"/>
      <c r="U31" s="309" t="s">
        <v>184</v>
      </c>
      <c r="V31" s="308"/>
      <c r="W31" s="309" t="s">
        <v>183</v>
      </c>
      <c r="X31" s="308"/>
      <c r="Y31" s="309" t="s">
        <v>120</v>
      </c>
      <c r="Z31" s="309" t="s">
        <v>186</v>
      </c>
      <c r="AA31" s="309" t="str">
        <f t="shared" si="29"/>
        <v/>
      </c>
      <c r="AB31" s="305" t="s">
        <v>187</v>
      </c>
      <c r="AC31" s="306" t="str">
        <f t="shared" si="10"/>
        <v/>
      </c>
      <c r="AD31" s="507"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48" t="str">
        <f>IFERROR(VLOOKUP(K31,【参考】数式用!$A$2:$N$57,14,FALSE),"")</f>
        <v/>
      </c>
      <c r="AP31" s="548" t="str">
        <f t="shared" si="13"/>
        <v/>
      </c>
      <c r="AQ31" s="552" t="str">
        <f t="shared" si="1"/>
        <v/>
      </c>
      <c r="AR31" s="552" t="str">
        <f t="shared" si="30"/>
        <v>キャリアパス要件Ⅰ・Ⅱ_</v>
      </c>
      <c r="AS31" s="531" t="str">
        <f t="shared" si="2"/>
        <v>入力済</v>
      </c>
      <c r="AT31" s="548" t="str">
        <f t="shared" si="14"/>
        <v/>
      </c>
      <c r="AU31" s="531" t="str">
        <f t="shared" si="3"/>
        <v>入力済</v>
      </c>
      <c r="AV31" s="531" t="str">
        <f t="shared" si="4"/>
        <v/>
      </c>
      <c r="AW31" s="531" t="str">
        <f t="shared" si="15"/>
        <v/>
      </c>
      <c r="AX31" s="548" t="str">
        <f t="shared" si="5"/>
        <v/>
      </c>
      <c r="AY31" s="531" t="str">
        <f>IFERROR(VLOOKUP(K31,【参考】数式用!$AR$3:$AS$49, 2, FALSE), "")</f>
        <v/>
      </c>
      <c r="AZ31" s="548" t="str">
        <f t="shared" si="16"/>
        <v/>
      </c>
      <c r="BA31" s="551" t="str">
        <f t="shared" si="6"/>
        <v>入力済</v>
      </c>
      <c r="BB31" s="531" t="str">
        <f>IFERROR(VLOOKUP(K31,【参考】数式用!$AX$3:$AY$59, 2, FALSE), "")</f>
        <v/>
      </c>
      <c r="BC31" s="548" t="str">
        <f t="shared" si="17"/>
        <v/>
      </c>
      <c r="BD31" s="551" t="str">
        <f t="shared" si="7"/>
        <v>入力済</v>
      </c>
      <c r="BE31" s="551" t="str">
        <f t="shared" si="18"/>
        <v/>
      </c>
      <c r="BF31" s="551" t="str">
        <f t="shared" si="19"/>
        <v/>
      </c>
      <c r="BG31" s="551" t="str">
        <f t="shared" si="20"/>
        <v/>
      </c>
      <c r="BH31" s="551" t="str">
        <f t="shared" si="8"/>
        <v/>
      </c>
      <c r="BI31" s="551" t="str">
        <f t="shared" si="9"/>
        <v/>
      </c>
      <c r="BK31" s="590"/>
      <c r="BL31" s="587" t="str">
        <f t="shared" si="21"/>
        <v/>
      </c>
      <c r="BM31" s="587" t="str">
        <f t="shared" si="22"/>
        <v/>
      </c>
      <c r="BN31" s="587" t="str">
        <f t="shared" si="23"/>
        <v/>
      </c>
      <c r="BO31" s="588" t="str">
        <f>IF(BM31="","",ROUNDDOWN(L31*VLOOKUP(K31,【参考】数式用!$A$4:$J$42,10,FALSE)*AA31,0))</f>
        <v/>
      </c>
      <c r="BP31" s="587" t="str">
        <f t="shared" si="24"/>
        <v/>
      </c>
      <c r="BQ31" s="587" t="str">
        <f t="shared" si="25"/>
        <v/>
      </c>
      <c r="BR31" s="589" t="str">
        <f t="shared" si="26"/>
        <v/>
      </c>
      <c r="BS31" s="589" t="str">
        <f t="shared" si="27"/>
        <v/>
      </c>
      <c r="BT31" s="587" t="str">
        <f t="shared" si="28"/>
        <v/>
      </c>
      <c r="BU31" s="588" t="str">
        <f>IF(BT31="Ⅱロ有り",ROUNDDOWN(L31*VLOOKUP(K31,【参考】数式用!$A$4:$J$42,10,FALSE)*AA31,0),"")</f>
        <v/>
      </c>
      <c r="BV31" s="587" t="str">
        <f>IF(BT31="Ⅱロなし",ROUNDDOWN(L31*VLOOKUP(K31,【参考】数式用!$A$4:$J$42,8,FALSE)*AA31,0),"")</f>
        <v/>
      </c>
    </row>
    <row r="32" spans="1:74" s="257" customFormat="1" ht="109.9" customHeight="1" thickBot="1">
      <c r="A32" s="303">
        <v>19</v>
      </c>
      <c r="B32" s="933" t="str">
        <f>IF(基本情報入力シート!B54="","",基本情報入力シート!B54)</f>
        <v/>
      </c>
      <c r="C32" s="934"/>
      <c r="D32" s="934"/>
      <c r="E32" s="934"/>
      <c r="F32" s="935"/>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49" t="str">
        <f>IF(基本情報入力シート!AF54=0, "",基本情報入力シート!AF54)</f>
        <v/>
      </c>
      <c r="M32" s="516" t="str">
        <f>IF('別紙様式2-2（個票（４、５月））'!M32="","",'別紙様式2-2（個票（４、５月））'!M32)</f>
        <v/>
      </c>
      <c r="N32" s="515" t="str">
        <f>IF('別紙様式2-2（個票（４、５月））'!N32="","",'別紙様式2-2（個票（４、５月））'!N32)</f>
        <v/>
      </c>
      <c r="O32" s="286"/>
      <c r="P32" s="546" t="str">
        <f>IFERROR(VLOOKUP(K32,【参考】数式用!$A$2:$M$57,MATCH(O32,【参考】数式用!$G$3:$M$3,0)+6,0),"")</f>
        <v/>
      </c>
      <c r="Q32" s="310" t="s">
        <v>118</v>
      </c>
      <c r="R32" s="308"/>
      <c r="S32" s="309" t="s">
        <v>183</v>
      </c>
      <c r="T32" s="308"/>
      <c r="U32" s="309" t="s">
        <v>184</v>
      </c>
      <c r="V32" s="308"/>
      <c r="W32" s="309" t="s">
        <v>183</v>
      </c>
      <c r="X32" s="308"/>
      <c r="Y32" s="309" t="s">
        <v>185</v>
      </c>
      <c r="Z32" s="309" t="s">
        <v>186</v>
      </c>
      <c r="AA32" s="309" t="str">
        <f t="shared" si="29"/>
        <v/>
      </c>
      <c r="AB32" s="305" t="s">
        <v>187</v>
      </c>
      <c r="AC32" s="306" t="str">
        <f t="shared" si="10"/>
        <v/>
      </c>
      <c r="AD32" s="507"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48" t="str">
        <f>IFERROR(VLOOKUP(K32,【参考】数式用!$A$2:$N$57,14,FALSE),"")</f>
        <v/>
      </c>
      <c r="AP32" s="548" t="str">
        <f t="shared" si="13"/>
        <v/>
      </c>
      <c r="AQ32" s="552" t="str">
        <f t="shared" si="1"/>
        <v/>
      </c>
      <c r="AR32" s="552" t="str">
        <f t="shared" si="30"/>
        <v>キャリアパス要件Ⅰ・Ⅱ_</v>
      </c>
      <c r="AS32" s="531" t="str">
        <f t="shared" si="2"/>
        <v>入力済</v>
      </c>
      <c r="AT32" s="548" t="str">
        <f t="shared" si="14"/>
        <v/>
      </c>
      <c r="AU32" s="531" t="str">
        <f t="shared" si="3"/>
        <v>入力済</v>
      </c>
      <c r="AV32" s="531" t="str">
        <f t="shared" si="4"/>
        <v/>
      </c>
      <c r="AW32" s="531" t="str">
        <f t="shared" si="15"/>
        <v/>
      </c>
      <c r="AX32" s="548" t="str">
        <f t="shared" si="5"/>
        <v/>
      </c>
      <c r="AY32" s="531" t="str">
        <f>IFERROR(VLOOKUP(K32,【参考】数式用!$AR$3:$AS$49, 2, FALSE), "")</f>
        <v/>
      </c>
      <c r="AZ32" s="548" t="str">
        <f t="shared" si="16"/>
        <v/>
      </c>
      <c r="BA32" s="551" t="str">
        <f t="shared" si="6"/>
        <v>入力済</v>
      </c>
      <c r="BB32" s="531" t="str">
        <f>IFERROR(VLOOKUP(K32,【参考】数式用!$AX$3:$AY$59, 2, FALSE), "")</f>
        <v/>
      </c>
      <c r="BC32" s="548" t="str">
        <f t="shared" si="17"/>
        <v/>
      </c>
      <c r="BD32" s="551" t="str">
        <f t="shared" si="7"/>
        <v>入力済</v>
      </c>
      <c r="BE32" s="551" t="str">
        <f t="shared" si="18"/>
        <v/>
      </c>
      <c r="BF32" s="551" t="str">
        <f t="shared" si="19"/>
        <v/>
      </c>
      <c r="BG32" s="551" t="str">
        <f t="shared" si="20"/>
        <v/>
      </c>
      <c r="BH32" s="551" t="str">
        <f t="shared" si="8"/>
        <v/>
      </c>
      <c r="BI32" s="551" t="str">
        <f t="shared" si="9"/>
        <v/>
      </c>
      <c r="BK32" s="590"/>
      <c r="BL32" s="587" t="str">
        <f t="shared" si="21"/>
        <v/>
      </c>
      <c r="BM32" s="587" t="str">
        <f t="shared" si="22"/>
        <v/>
      </c>
      <c r="BN32" s="587" t="str">
        <f t="shared" si="23"/>
        <v/>
      </c>
      <c r="BO32" s="588" t="str">
        <f>IF(BM32="","",ROUNDDOWN(L32*VLOOKUP(K32,【参考】数式用!$A$4:$J$42,10,FALSE)*AA32,0))</f>
        <v/>
      </c>
      <c r="BP32" s="587" t="str">
        <f t="shared" si="24"/>
        <v/>
      </c>
      <c r="BQ32" s="587" t="str">
        <f t="shared" si="25"/>
        <v/>
      </c>
      <c r="BR32" s="589" t="str">
        <f t="shared" si="26"/>
        <v/>
      </c>
      <c r="BS32" s="589" t="str">
        <f t="shared" si="27"/>
        <v/>
      </c>
      <c r="BT32" s="587" t="str">
        <f t="shared" si="28"/>
        <v/>
      </c>
      <c r="BU32" s="588" t="str">
        <f>IF(BT32="Ⅱロ有り",ROUNDDOWN(L32*VLOOKUP(K32,【参考】数式用!$A$4:$J$42,10,FALSE)*AA32,0),"")</f>
        <v/>
      </c>
      <c r="BV32" s="587" t="str">
        <f>IF(BT32="Ⅱロなし",ROUNDDOWN(L32*VLOOKUP(K32,【参考】数式用!$A$4:$J$42,8,FALSE)*AA32,0),"")</f>
        <v/>
      </c>
    </row>
    <row r="33" spans="1:74" s="257" customFormat="1" ht="109.9" customHeight="1" thickBot="1">
      <c r="A33" s="303">
        <v>20</v>
      </c>
      <c r="B33" s="933" t="str">
        <f>IF(基本情報入力シート!B55="","",基本情報入力シート!B55)</f>
        <v/>
      </c>
      <c r="C33" s="934"/>
      <c r="D33" s="934"/>
      <c r="E33" s="934"/>
      <c r="F33" s="935"/>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49" t="str">
        <f>IF(基本情報入力シート!AF55=0, "",基本情報入力シート!AF55)</f>
        <v/>
      </c>
      <c r="M33" s="516" t="str">
        <f>IF('別紙様式2-2（個票（４、５月））'!M33="","",'別紙様式2-2（個票（４、５月））'!M33)</f>
        <v/>
      </c>
      <c r="N33" s="515" t="str">
        <f>IF('別紙様式2-2（個票（４、５月））'!N33="","",'別紙様式2-2（個票（４、５月））'!N33)</f>
        <v/>
      </c>
      <c r="O33" s="286"/>
      <c r="P33" s="546" t="str">
        <f>IFERROR(VLOOKUP(K33,【参考】数式用!$A$2:$M$57,MATCH(O33,【参考】数式用!$G$3:$M$3,0)+6,0),"")</f>
        <v/>
      </c>
      <c r="Q33" s="310" t="s">
        <v>118</v>
      </c>
      <c r="R33" s="308"/>
      <c r="S33" s="309" t="s">
        <v>183</v>
      </c>
      <c r="T33" s="308"/>
      <c r="U33" s="309" t="s">
        <v>184</v>
      </c>
      <c r="V33" s="308"/>
      <c r="W33" s="309" t="s">
        <v>183</v>
      </c>
      <c r="X33" s="308"/>
      <c r="Y33" s="309" t="s">
        <v>185</v>
      </c>
      <c r="Z33" s="309" t="s">
        <v>186</v>
      </c>
      <c r="AA33" s="309" t="str">
        <f t="shared" si="29"/>
        <v/>
      </c>
      <c r="AB33" s="305" t="s">
        <v>187</v>
      </c>
      <c r="AC33" s="306" t="str">
        <f t="shared" si="10"/>
        <v/>
      </c>
      <c r="AD33" s="507"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48" t="str">
        <f>IFERROR(VLOOKUP(K33,【参考】数式用!$A$2:$N$57,14,FALSE),"")</f>
        <v/>
      </c>
      <c r="AP33" s="548" t="str">
        <f t="shared" si="13"/>
        <v/>
      </c>
      <c r="AQ33" s="552" t="str">
        <f t="shared" si="1"/>
        <v/>
      </c>
      <c r="AR33" s="552" t="str">
        <f t="shared" si="30"/>
        <v>キャリアパス要件Ⅰ・Ⅱ_</v>
      </c>
      <c r="AS33" s="531" t="str">
        <f t="shared" si="2"/>
        <v>入力済</v>
      </c>
      <c r="AT33" s="548" t="str">
        <f t="shared" si="14"/>
        <v/>
      </c>
      <c r="AU33" s="531" t="str">
        <f t="shared" si="3"/>
        <v>入力済</v>
      </c>
      <c r="AV33" s="531" t="str">
        <f t="shared" si="4"/>
        <v/>
      </c>
      <c r="AW33" s="531" t="str">
        <f t="shared" si="15"/>
        <v/>
      </c>
      <c r="AX33" s="548" t="str">
        <f t="shared" si="5"/>
        <v/>
      </c>
      <c r="AY33" s="531" t="str">
        <f>IFERROR(VLOOKUP(K33,【参考】数式用!$AR$3:$AS$49, 2, FALSE), "")</f>
        <v/>
      </c>
      <c r="AZ33" s="548" t="str">
        <f t="shared" si="16"/>
        <v/>
      </c>
      <c r="BA33" s="551" t="str">
        <f t="shared" si="6"/>
        <v>入力済</v>
      </c>
      <c r="BB33" s="531" t="str">
        <f>IFERROR(VLOOKUP(K33,【参考】数式用!$AX$3:$AY$59, 2, FALSE), "")</f>
        <v/>
      </c>
      <c r="BC33" s="548" t="str">
        <f t="shared" si="17"/>
        <v/>
      </c>
      <c r="BD33" s="551" t="str">
        <f t="shared" si="7"/>
        <v>入力済</v>
      </c>
      <c r="BE33" s="551" t="str">
        <f t="shared" si="18"/>
        <v/>
      </c>
      <c r="BF33" s="551" t="str">
        <f t="shared" si="19"/>
        <v/>
      </c>
      <c r="BG33" s="551" t="str">
        <f t="shared" si="20"/>
        <v/>
      </c>
      <c r="BH33" s="551" t="str">
        <f t="shared" si="8"/>
        <v/>
      </c>
      <c r="BI33" s="551" t="str">
        <f t="shared" si="9"/>
        <v/>
      </c>
      <c r="BK33" s="590"/>
      <c r="BL33" s="587" t="str">
        <f t="shared" si="21"/>
        <v/>
      </c>
      <c r="BM33" s="587" t="str">
        <f t="shared" si="22"/>
        <v/>
      </c>
      <c r="BN33" s="587" t="str">
        <f t="shared" si="23"/>
        <v/>
      </c>
      <c r="BO33" s="588" t="str">
        <f>IF(BM33="","",ROUNDDOWN(L33*VLOOKUP(K33,【参考】数式用!$A$4:$J$42,10,FALSE)*AA33,0))</f>
        <v/>
      </c>
      <c r="BP33" s="587" t="str">
        <f t="shared" si="24"/>
        <v/>
      </c>
      <c r="BQ33" s="587" t="str">
        <f t="shared" si="25"/>
        <v/>
      </c>
      <c r="BR33" s="589" t="str">
        <f t="shared" si="26"/>
        <v/>
      </c>
      <c r="BS33" s="589" t="str">
        <f t="shared" si="27"/>
        <v/>
      </c>
      <c r="BT33" s="587" t="str">
        <f t="shared" si="28"/>
        <v/>
      </c>
      <c r="BU33" s="588" t="str">
        <f>IF(BT33="Ⅱロ有り",ROUNDDOWN(L33*VLOOKUP(K33,【参考】数式用!$A$4:$J$42,10,FALSE)*AA33,0),"")</f>
        <v/>
      </c>
      <c r="BV33" s="587" t="str">
        <f>IF(BT33="Ⅱロなし",ROUNDDOWN(L33*VLOOKUP(K33,【参考】数式用!$A$4:$J$42,8,FALSE)*AA33,0),"")</f>
        <v/>
      </c>
    </row>
    <row r="34" spans="1:74" s="257" customFormat="1" ht="109.9" customHeight="1" thickBot="1">
      <c r="A34" s="303">
        <v>21</v>
      </c>
      <c r="B34" s="933" t="str">
        <f>IF(基本情報入力シート!B56="","",基本情報入力シート!B56)</f>
        <v/>
      </c>
      <c r="C34" s="934"/>
      <c r="D34" s="934"/>
      <c r="E34" s="934"/>
      <c r="F34" s="935"/>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49" t="str">
        <f>IF(基本情報入力シート!AF56=0, "",基本情報入力シート!AF56)</f>
        <v/>
      </c>
      <c r="M34" s="516" t="str">
        <f>IF('別紙様式2-2（個票（４、５月））'!M34="","",'別紙様式2-2（個票（４、５月））'!M34)</f>
        <v/>
      </c>
      <c r="N34" s="515" t="str">
        <f>IF('別紙様式2-2（個票（４、５月））'!N34="","",'別紙様式2-2（個票（４、５月））'!N34)</f>
        <v/>
      </c>
      <c r="O34" s="286"/>
      <c r="P34" s="546" t="str">
        <f>IFERROR(VLOOKUP(K34,【参考】数式用!$A$2:$M$57,MATCH(O34,【参考】数式用!$G$3:$M$3,0)+6,0),"")</f>
        <v/>
      </c>
      <c r="Q34" s="310" t="s">
        <v>118</v>
      </c>
      <c r="R34" s="308"/>
      <c r="S34" s="309" t="s">
        <v>183</v>
      </c>
      <c r="T34" s="308"/>
      <c r="U34" s="309" t="s">
        <v>184</v>
      </c>
      <c r="V34" s="308"/>
      <c r="W34" s="309" t="s">
        <v>183</v>
      </c>
      <c r="X34" s="308"/>
      <c r="Y34" s="309" t="s">
        <v>185</v>
      </c>
      <c r="Z34" s="309" t="s">
        <v>186</v>
      </c>
      <c r="AA34" s="309" t="str">
        <f t="shared" si="29"/>
        <v/>
      </c>
      <c r="AB34" s="305" t="s">
        <v>187</v>
      </c>
      <c r="AC34" s="306" t="str">
        <f t="shared" si="10"/>
        <v/>
      </c>
      <c r="AD34" s="507"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48" t="str">
        <f>IFERROR(VLOOKUP(K34,【参考】数式用!$A$2:$N$57,14,FALSE),"")</f>
        <v/>
      </c>
      <c r="AP34" s="548" t="str">
        <f t="shared" si="13"/>
        <v/>
      </c>
      <c r="AQ34" s="552" t="str">
        <f t="shared" si="1"/>
        <v/>
      </c>
      <c r="AR34" s="552" t="str">
        <f t="shared" si="30"/>
        <v>キャリアパス要件Ⅰ・Ⅱ_</v>
      </c>
      <c r="AS34" s="531" t="str">
        <f t="shared" si="2"/>
        <v>入力済</v>
      </c>
      <c r="AT34" s="548" t="str">
        <f t="shared" si="14"/>
        <v/>
      </c>
      <c r="AU34" s="531" t="str">
        <f t="shared" si="3"/>
        <v>入力済</v>
      </c>
      <c r="AV34" s="531" t="str">
        <f t="shared" si="4"/>
        <v/>
      </c>
      <c r="AW34" s="531" t="str">
        <f t="shared" si="15"/>
        <v/>
      </c>
      <c r="AX34" s="548" t="str">
        <f t="shared" si="5"/>
        <v/>
      </c>
      <c r="AY34" s="531" t="str">
        <f>IFERROR(VLOOKUP(K34,【参考】数式用!$AR$3:$AS$49, 2, FALSE), "")</f>
        <v/>
      </c>
      <c r="AZ34" s="548" t="str">
        <f t="shared" si="16"/>
        <v/>
      </c>
      <c r="BA34" s="551" t="str">
        <f t="shared" si="6"/>
        <v>入力済</v>
      </c>
      <c r="BB34" s="531" t="str">
        <f>IFERROR(VLOOKUP(K34,【参考】数式用!$AX$3:$AY$59, 2, FALSE), "")</f>
        <v/>
      </c>
      <c r="BC34" s="548" t="str">
        <f t="shared" si="17"/>
        <v/>
      </c>
      <c r="BD34" s="551" t="str">
        <f t="shared" si="7"/>
        <v>入力済</v>
      </c>
      <c r="BE34" s="551" t="str">
        <f t="shared" si="18"/>
        <v/>
      </c>
      <c r="BF34" s="551" t="str">
        <f t="shared" si="19"/>
        <v/>
      </c>
      <c r="BG34" s="551" t="str">
        <f t="shared" si="20"/>
        <v/>
      </c>
      <c r="BH34" s="551" t="str">
        <f t="shared" si="8"/>
        <v/>
      </c>
      <c r="BI34" s="551" t="str">
        <f t="shared" si="9"/>
        <v/>
      </c>
      <c r="BK34" s="590"/>
      <c r="BL34" s="587" t="str">
        <f t="shared" si="21"/>
        <v/>
      </c>
      <c r="BM34" s="587" t="str">
        <f t="shared" si="22"/>
        <v/>
      </c>
      <c r="BN34" s="587" t="str">
        <f t="shared" si="23"/>
        <v/>
      </c>
      <c r="BO34" s="588" t="str">
        <f>IF(BM34="","",ROUNDDOWN(L34*VLOOKUP(K34,【参考】数式用!$A$4:$J$42,10,FALSE)*AA34,0))</f>
        <v/>
      </c>
      <c r="BP34" s="587" t="str">
        <f t="shared" si="24"/>
        <v/>
      </c>
      <c r="BQ34" s="587" t="str">
        <f t="shared" si="25"/>
        <v/>
      </c>
      <c r="BR34" s="589" t="str">
        <f t="shared" si="26"/>
        <v/>
      </c>
      <c r="BS34" s="589" t="str">
        <f t="shared" si="27"/>
        <v/>
      </c>
      <c r="BT34" s="587" t="str">
        <f t="shared" si="28"/>
        <v/>
      </c>
      <c r="BU34" s="588" t="str">
        <f>IF(BT34="Ⅱロ有り",ROUNDDOWN(L34*VLOOKUP(K34,【参考】数式用!$A$4:$J$42,10,FALSE)*AA34,0),"")</f>
        <v/>
      </c>
      <c r="BV34" s="587" t="str">
        <f>IF(BT34="Ⅱロなし",ROUNDDOWN(L34*VLOOKUP(K34,【参考】数式用!$A$4:$J$42,8,FALSE)*AA34,0),"")</f>
        <v/>
      </c>
    </row>
    <row r="35" spans="1:74" s="257" customFormat="1" ht="109.9" customHeight="1" thickBot="1">
      <c r="A35" s="303">
        <v>22</v>
      </c>
      <c r="B35" s="933" t="str">
        <f>IF(基本情報入力シート!B57="","",基本情報入力シート!B57)</f>
        <v/>
      </c>
      <c r="C35" s="934"/>
      <c r="D35" s="934"/>
      <c r="E35" s="934"/>
      <c r="F35" s="935"/>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49" t="str">
        <f>IF(基本情報入力シート!AF57=0, "",基本情報入力シート!AF57)</f>
        <v/>
      </c>
      <c r="M35" s="516" t="str">
        <f>IF('別紙様式2-2（個票（４、５月））'!M35="","",'別紙様式2-2（個票（４、５月））'!M35)</f>
        <v/>
      </c>
      <c r="N35" s="515" t="str">
        <f>IF('別紙様式2-2（個票（４、５月））'!N35="","",'別紙様式2-2（個票（４、５月））'!N35)</f>
        <v/>
      </c>
      <c r="O35" s="286"/>
      <c r="P35" s="546" t="str">
        <f>IFERROR(VLOOKUP(K35,【参考】数式用!$A$2:$M$57,MATCH(O35,【参考】数式用!$G$3:$M$3,0)+6,0),"")</f>
        <v/>
      </c>
      <c r="Q35" s="310" t="s">
        <v>118</v>
      </c>
      <c r="R35" s="308"/>
      <c r="S35" s="309" t="s">
        <v>183</v>
      </c>
      <c r="T35" s="308"/>
      <c r="U35" s="309" t="s">
        <v>184</v>
      </c>
      <c r="V35" s="308"/>
      <c r="W35" s="309" t="s">
        <v>183</v>
      </c>
      <c r="X35" s="308"/>
      <c r="Y35" s="309" t="s">
        <v>120</v>
      </c>
      <c r="Z35" s="309" t="s">
        <v>186</v>
      </c>
      <c r="AA35" s="309" t="str">
        <f t="shared" si="29"/>
        <v/>
      </c>
      <c r="AB35" s="305" t="s">
        <v>187</v>
      </c>
      <c r="AC35" s="306" t="str">
        <f t="shared" si="10"/>
        <v/>
      </c>
      <c r="AD35" s="507"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48" t="str">
        <f>IFERROR(VLOOKUP(K35,【参考】数式用!$A$2:$N$57,14,FALSE),"")</f>
        <v/>
      </c>
      <c r="AP35" s="548" t="str">
        <f t="shared" si="13"/>
        <v/>
      </c>
      <c r="AQ35" s="552" t="str">
        <f t="shared" si="1"/>
        <v/>
      </c>
      <c r="AR35" s="552" t="str">
        <f t="shared" si="30"/>
        <v>キャリアパス要件Ⅰ・Ⅱ_</v>
      </c>
      <c r="AS35" s="531" t="str">
        <f t="shared" si="2"/>
        <v>入力済</v>
      </c>
      <c r="AT35" s="548" t="str">
        <f t="shared" si="14"/>
        <v/>
      </c>
      <c r="AU35" s="531" t="str">
        <f t="shared" si="3"/>
        <v>入力済</v>
      </c>
      <c r="AV35" s="531" t="str">
        <f t="shared" si="4"/>
        <v/>
      </c>
      <c r="AW35" s="531" t="str">
        <f t="shared" si="15"/>
        <v/>
      </c>
      <c r="AX35" s="548" t="str">
        <f t="shared" si="5"/>
        <v/>
      </c>
      <c r="AY35" s="531" t="str">
        <f>IFERROR(VLOOKUP(K35,【参考】数式用!$AR$3:$AS$49, 2, FALSE), "")</f>
        <v/>
      </c>
      <c r="AZ35" s="548" t="str">
        <f t="shared" si="16"/>
        <v/>
      </c>
      <c r="BA35" s="551" t="str">
        <f t="shared" si="6"/>
        <v>入力済</v>
      </c>
      <c r="BB35" s="531" t="str">
        <f>IFERROR(VLOOKUP(K35,【参考】数式用!$AX$3:$AY$59, 2, FALSE), "")</f>
        <v/>
      </c>
      <c r="BC35" s="548" t="str">
        <f t="shared" si="17"/>
        <v/>
      </c>
      <c r="BD35" s="551" t="str">
        <f t="shared" si="7"/>
        <v>入力済</v>
      </c>
      <c r="BE35" s="551" t="str">
        <f t="shared" si="18"/>
        <v/>
      </c>
      <c r="BF35" s="551" t="str">
        <f t="shared" si="19"/>
        <v/>
      </c>
      <c r="BG35" s="551" t="str">
        <f t="shared" si="20"/>
        <v/>
      </c>
      <c r="BH35" s="551" t="str">
        <f t="shared" si="8"/>
        <v/>
      </c>
      <c r="BI35" s="551" t="str">
        <f t="shared" si="9"/>
        <v/>
      </c>
      <c r="BK35" s="590"/>
      <c r="BL35" s="587" t="str">
        <f t="shared" si="21"/>
        <v/>
      </c>
      <c r="BM35" s="587" t="str">
        <f t="shared" si="22"/>
        <v/>
      </c>
      <c r="BN35" s="587" t="str">
        <f t="shared" si="23"/>
        <v/>
      </c>
      <c r="BO35" s="588" t="str">
        <f>IF(BM35="","",ROUNDDOWN(L35*VLOOKUP(K35,【参考】数式用!$A$4:$J$42,10,FALSE)*AA35,0))</f>
        <v/>
      </c>
      <c r="BP35" s="587" t="str">
        <f t="shared" si="24"/>
        <v/>
      </c>
      <c r="BQ35" s="587" t="str">
        <f t="shared" si="25"/>
        <v/>
      </c>
      <c r="BR35" s="589" t="str">
        <f t="shared" si="26"/>
        <v/>
      </c>
      <c r="BS35" s="589" t="str">
        <f t="shared" si="27"/>
        <v/>
      </c>
      <c r="BT35" s="587" t="str">
        <f t="shared" si="28"/>
        <v/>
      </c>
      <c r="BU35" s="588" t="str">
        <f>IF(BT35="Ⅱロ有り",ROUNDDOWN(L35*VLOOKUP(K35,【参考】数式用!$A$4:$J$42,10,FALSE)*AA35,0),"")</f>
        <v/>
      </c>
      <c r="BV35" s="587" t="str">
        <f>IF(BT35="Ⅱロなし",ROUNDDOWN(L35*VLOOKUP(K35,【参考】数式用!$A$4:$J$42,8,FALSE)*AA35,0),"")</f>
        <v/>
      </c>
    </row>
    <row r="36" spans="1:74" s="257" customFormat="1" ht="109.9" customHeight="1" thickBot="1">
      <c r="A36" s="303">
        <v>23</v>
      </c>
      <c r="B36" s="933" t="str">
        <f>IF(基本情報入力シート!B58="","",基本情報入力シート!B58)</f>
        <v/>
      </c>
      <c r="C36" s="934"/>
      <c r="D36" s="934"/>
      <c r="E36" s="934"/>
      <c r="F36" s="935"/>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49" t="str">
        <f>IF(基本情報入力シート!AF58=0, "",基本情報入力シート!AF58)</f>
        <v/>
      </c>
      <c r="M36" s="516" t="str">
        <f>IF('別紙様式2-2（個票（４、５月））'!M36="","",'別紙様式2-2（個票（４、５月））'!M36)</f>
        <v/>
      </c>
      <c r="N36" s="515" t="str">
        <f>IF('別紙様式2-2（個票（４、５月））'!N36="","",'別紙様式2-2（個票（４、５月））'!N36)</f>
        <v/>
      </c>
      <c r="O36" s="286"/>
      <c r="P36" s="546" t="str">
        <f>IFERROR(VLOOKUP(K36,【参考】数式用!$A$2:$M$57,MATCH(O36,【参考】数式用!$G$3:$M$3,0)+6,0),"")</f>
        <v/>
      </c>
      <c r="Q36" s="310" t="s">
        <v>118</v>
      </c>
      <c r="R36" s="308"/>
      <c r="S36" s="309" t="s">
        <v>183</v>
      </c>
      <c r="T36" s="308"/>
      <c r="U36" s="309" t="s">
        <v>184</v>
      </c>
      <c r="V36" s="308"/>
      <c r="W36" s="309" t="s">
        <v>183</v>
      </c>
      <c r="X36" s="308"/>
      <c r="Y36" s="309" t="s">
        <v>120</v>
      </c>
      <c r="Z36" s="309" t="s">
        <v>186</v>
      </c>
      <c r="AA36" s="309" t="str">
        <f t="shared" si="29"/>
        <v/>
      </c>
      <c r="AB36" s="305" t="s">
        <v>187</v>
      </c>
      <c r="AC36" s="306" t="str">
        <f t="shared" si="10"/>
        <v/>
      </c>
      <c r="AD36" s="507"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48" t="str">
        <f>IFERROR(VLOOKUP(K36,【参考】数式用!$A$2:$N$57,14,FALSE),"")</f>
        <v/>
      </c>
      <c r="AP36" s="548" t="str">
        <f t="shared" si="13"/>
        <v/>
      </c>
      <c r="AQ36" s="552" t="str">
        <f t="shared" si="1"/>
        <v/>
      </c>
      <c r="AR36" s="552" t="str">
        <f t="shared" si="30"/>
        <v>キャリアパス要件Ⅰ・Ⅱ_</v>
      </c>
      <c r="AS36" s="531" t="str">
        <f t="shared" si="2"/>
        <v>入力済</v>
      </c>
      <c r="AT36" s="548" t="str">
        <f t="shared" si="14"/>
        <v/>
      </c>
      <c r="AU36" s="531" t="str">
        <f t="shared" si="3"/>
        <v>入力済</v>
      </c>
      <c r="AV36" s="531" t="str">
        <f t="shared" si="4"/>
        <v/>
      </c>
      <c r="AW36" s="531" t="str">
        <f t="shared" si="15"/>
        <v/>
      </c>
      <c r="AX36" s="548" t="str">
        <f t="shared" si="5"/>
        <v/>
      </c>
      <c r="AY36" s="531" t="str">
        <f>IFERROR(VLOOKUP(K36,【参考】数式用!$AR$3:$AS$49, 2, FALSE), "")</f>
        <v/>
      </c>
      <c r="AZ36" s="548" t="str">
        <f t="shared" si="16"/>
        <v/>
      </c>
      <c r="BA36" s="551" t="str">
        <f t="shared" si="6"/>
        <v>入力済</v>
      </c>
      <c r="BB36" s="531" t="str">
        <f>IFERROR(VLOOKUP(K36,【参考】数式用!$AX$3:$AY$59, 2, FALSE), "")</f>
        <v/>
      </c>
      <c r="BC36" s="548" t="str">
        <f t="shared" si="17"/>
        <v/>
      </c>
      <c r="BD36" s="551" t="str">
        <f t="shared" si="7"/>
        <v>入力済</v>
      </c>
      <c r="BE36" s="551" t="str">
        <f t="shared" si="18"/>
        <v/>
      </c>
      <c r="BF36" s="551" t="str">
        <f t="shared" si="19"/>
        <v/>
      </c>
      <c r="BG36" s="551" t="str">
        <f t="shared" si="20"/>
        <v/>
      </c>
      <c r="BH36" s="551" t="str">
        <f t="shared" si="8"/>
        <v/>
      </c>
      <c r="BI36" s="551" t="str">
        <f t="shared" si="9"/>
        <v/>
      </c>
      <c r="BK36" s="590"/>
      <c r="BL36" s="587" t="str">
        <f t="shared" si="21"/>
        <v/>
      </c>
      <c r="BM36" s="587" t="str">
        <f t="shared" si="22"/>
        <v/>
      </c>
      <c r="BN36" s="587" t="str">
        <f t="shared" si="23"/>
        <v/>
      </c>
      <c r="BO36" s="588" t="str">
        <f>IF(BM36="","",ROUNDDOWN(L36*VLOOKUP(K36,【参考】数式用!$A$4:$J$42,10,FALSE)*AA36,0))</f>
        <v/>
      </c>
      <c r="BP36" s="587" t="str">
        <f t="shared" si="24"/>
        <v/>
      </c>
      <c r="BQ36" s="587" t="str">
        <f t="shared" si="25"/>
        <v/>
      </c>
      <c r="BR36" s="589" t="str">
        <f t="shared" si="26"/>
        <v/>
      </c>
      <c r="BS36" s="589" t="str">
        <f t="shared" si="27"/>
        <v/>
      </c>
      <c r="BT36" s="587" t="str">
        <f t="shared" si="28"/>
        <v/>
      </c>
      <c r="BU36" s="588" t="str">
        <f>IF(BT36="Ⅱロ有り",ROUNDDOWN(L36*VLOOKUP(K36,【参考】数式用!$A$4:$J$42,10,FALSE)*AA36,0),"")</f>
        <v/>
      </c>
      <c r="BV36" s="587" t="str">
        <f>IF(BT36="Ⅱロなし",ROUNDDOWN(L36*VLOOKUP(K36,【参考】数式用!$A$4:$J$42,8,FALSE)*AA36,0),"")</f>
        <v/>
      </c>
    </row>
    <row r="37" spans="1:74" s="257" customFormat="1" ht="109.9" customHeight="1" thickBot="1">
      <c r="A37" s="303">
        <v>24</v>
      </c>
      <c r="B37" s="933" t="str">
        <f>IF(基本情報入力シート!B59="","",基本情報入力シート!B59)</f>
        <v/>
      </c>
      <c r="C37" s="934"/>
      <c r="D37" s="934"/>
      <c r="E37" s="934"/>
      <c r="F37" s="935"/>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49" t="str">
        <f>IF(基本情報入力シート!AF59=0, "",基本情報入力シート!AF59)</f>
        <v/>
      </c>
      <c r="M37" s="516" t="str">
        <f>IF('別紙様式2-2（個票（４、５月））'!M37="","",'別紙様式2-2（個票（４、５月））'!M37)</f>
        <v/>
      </c>
      <c r="N37" s="515" t="str">
        <f>IF('別紙様式2-2（個票（４、５月））'!N37="","",'別紙様式2-2（個票（４、５月））'!N37)</f>
        <v/>
      </c>
      <c r="O37" s="286"/>
      <c r="P37" s="546" t="str">
        <f>IFERROR(VLOOKUP(K37,【参考】数式用!$A$2:$M$57,MATCH(O37,【参考】数式用!$G$3:$M$3,0)+6,0),"")</f>
        <v/>
      </c>
      <c r="Q37" s="310" t="s">
        <v>118</v>
      </c>
      <c r="R37" s="308"/>
      <c r="S37" s="309" t="s">
        <v>183</v>
      </c>
      <c r="T37" s="308"/>
      <c r="U37" s="309" t="s">
        <v>184</v>
      </c>
      <c r="V37" s="308"/>
      <c r="W37" s="309" t="s">
        <v>183</v>
      </c>
      <c r="X37" s="308"/>
      <c r="Y37" s="309" t="s">
        <v>185</v>
      </c>
      <c r="Z37" s="309" t="s">
        <v>186</v>
      </c>
      <c r="AA37" s="309" t="str">
        <f t="shared" si="29"/>
        <v/>
      </c>
      <c r="AB37" s="305" t="s">
        <v>187</v>
      </c>
      <c r="AC37" s="306" t="str">
        <f t="shared" si="10"/>
        <v/>
      </c>
      <c r="AD37" s="507"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48" t="str">
        <f>IFERROR(VLOOKUP(K37,【参考】数式用!$A$2:$N$57,14,FALSE),"")</f>
        <v/>
      </c>
      <c r="AP37" s="548" t="str">
        <f t="shared" si="13"/>
        <v/>
      </c>
      <c r="AQ37" s="552" t="str">
        <f t="shared" si="1"/>
        <v/>
      </c>
      <c r="AR37" s="552" t="str">
        <f t="shared" si="30"/>
        <v>キャリアパス要件Ⅰ・Ⅱ_</v>
      </c>
      <c r="AS37" s="531" t="str">
        <f t="shared" si="2"/>
        <v>入力済</v>
      </c>
      <c r="AT37" s="548" t="str">
        <f t="shared" si="14"/>
        <v/>
      </c>
      <c r="AU37" s="531" t="str">
        <f t="shared" si="3"/>
        <v>入力済</v>
      </c>
      <c r="AV37" s="531" t="str">
        <f t="shared" si="4"/>
        <v/>
      </c>
      <c r="AW37" s="531" t="str">
        <f t="shared" si="15"/>
        <v/>
      </c>
      <c r="AX37" s="548" t="str">
        <f t="shared" si="5"/>
        <v/>
      </c>
      <c r="AY37" s="531" t="str">
        <f>IFERROR(VLOOKUP(K37,【参考】数式用!$AR$3:$AS$49, 2, FALSE), "")</f>
        <v/>
      </c>
      <c r="AZ37" s="548" t="str">
        <f t="shared" si="16"/>
        <v/>
      </c>
      <c r="BA37" s="551" t="str">
        <f t="shared" si="6"/>
        <v>入力済</v>
      </c>
      <c r="BB37" s="531" t="str">
        <f>IFERROR(VLOOKUP(K37,【参考】数式用!$AX$3:$AY$59, 2, FALSE), "")</f>
        <v/>
      </c>
      <c r="BC37" s="548" t="str">
        <f t="shared" si="17"/>
        <v/>
      </c>
      <c r="BD37" s="551" t="str">
        <f t="shared" si="7"/>
        <v>入力済</v>
      </c>
      <c r="BE37" s="551" t="str">
        <f t="shared" si="18"/>
        <v/>
      </c>
      <c r="BF37" s="551" t="str">
        <f t="shared" si="19"/>
        <v/>
      </c>
      <c r="BG37" s="551" t="str">
        <f t="shared" si="20"/>
        <v/>
      </c>
      <c r="BH37" s="551" t="str">
        <f t="shared" si="8"/>
        <v/>
      </c>
      <c r="BI37" s="551" t="str">
        <f t="shared" si="9"/>
        <v/>
      </c>
      <c r="BK37" s="590"/>
      <c r="BL37" s="587" t="str">
        <f t="shared" si="21"/>
        <v/>
      </c>
      <c r="BM37" s="587" t="str">
        <f t="shared" si="22"/>
        <v/>
      </c>
      <c r="BN37" s="587" t="str">
        <f t="shared" si="23"/>
        <v/>
      </c>
      <c r="BO37" s="588" t="str">
        <f>IF(BM37="","",ROUNDDOWN(L37*VLOOKUP(K37,【参考】数式用!$A$4:$J$42,10,FALSE)*AA37,0))</f>
        <v/>
      </c>
      <c r="BP37" s="587" t="str">
        <f t="shared" si="24"/>
        <v/>
      </c>
      <c r="BQ37" s="587" t="str">
        <f t="shared" si="25"/>
        <v/>
      </c>
      <c r="BR37" s="589" t="str">
        <f t="shared" si="26"/>
        <v/>
      </c>
      <c r="BS37" s="589" t="str">
        <f t="shared" si="27"/>
        <v/>
      </c>
      <c r="BT37" s="587" t="str">
        <f t="shared" si="28"/>
        <v/>
      </c>
      <c r="BU37" s="588" t="str">
        <f>IF(BT37="Ⅱロ有り",ROUNDDOWN(L37*VLOOKUP(K37,【参考】数式用!$A$4:$J$42,10,FALSE)*AA37,0),"")</f>
        <v/>
      </c>
      <c r="BV37" s="587" t="str">
        <f>IF(BT37="Ⅱロなし",ROUNDDOWN(L37*VLOOKUP(K37,【参考】数式用!$A$4:$J$42,8,FALSE)*AA37,0),"")</f>
        <v/>
      </c>
    </row>
    <row r="38" spans="1:74" s="257" customFormat="1" ht="109.9" customHeight="1" thickBot="1">
      <c r="A38" s="303">
        <v>25</v>
      </c>
      <c r="B38" s="933" t="str">
        <f>IF(基本情報入力シート!B60="","",基本情報入力シート!B60)</f>
        <v/>
      </c>
      <c r="C38" s="934"/>
      <c r="D38" s="934"/>
      <c r="E38" s="934"/>
      <c r="F38" s="935"/>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49" t="str">
        <f>IF(基本情報入力シート!AF60=0, "",基本情報入力シート!AF60)</f>
        <v/>
      </c>
      <c r="M38" s="516" t="str">
        <f>IF('別紙様式2-2（個票（４、５月））'!M38="","",'別紙様式2-2（個票（４、５月））'!M38)</f>
        <v/>
      </c>
      <c r="N38" s="515" t="str">
        <f>IF('別紙様式2-2（個票（４、５月））'!N38="","",'別紙様式2-2（個票（４、５月））'!N38)</f>
        <v/>
      </c>
      <c r="O38" s="286"/>
      <c r="P38" s="546" t="str">
        <f>IFERROR(VLOOKUP(K38,【参考】数式用!$A$2:$M$57,MATCH(O38,【参考】数式用!$G$3:$M$3,0)+6,0),"")</f>
        <v/>
      </c>
      <c r="Q38" s="310" t="s">
        <v>118</v>
      </c>
      <c r="R38" s="308"/>
      <c r="S38" s="309" t="s">
        <v>183</v>
      </c>
      <c r="T38" s="308"/>
      <c r="U38" s="309" t="s">
        <v>184</v>
      </c>
      <c r="V38" s="308"/>
      <c r="W38" s="309" t="s">
        <v>183</v>
      </c>
      <c r="X38" s="308"/>
      <c r="Y38" s="309" t="s">
        <v>185</v>
      </c>
      <c r="Z38" s="309" t="s">
        <v>186</v>
      </c>
      <c r="AA38" s="309" t="str">
        <f t="shared" si="29"/>
        <v/>
      </c>
      <c r="AB38" s="305" t="s">
        <v>187</v>
      </c>
      <c r="AC38" s="306" t="str">
        <f t="shared" si="10"/>
        <v/>
      </c>
      <c r="AD38" s="507"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48" t="str">
        <f>IFERROR(VLOOKUP(K38,【参考】数式用!$A$2:$N$57,14,FALSE),"")</f>
        <v/>
      </c>
      <c r="AP38" s="548" t="str">
        <f t="shared" si="13"/>
        <v/>
      </c>
      <c r="AQ38" s="552" t="str">
        <f t="shared" si="1"/>
        <v/>
      </c>
      <c r="AR38" s="552" t="str">
        <f t="shared" si="30"/>
        <v>キャリアパス要件Ⅰ・Ⅱ_</v>
      </c>
      <c r="AS38" s="531" t="str">
        <f t="shared" si="2"/>
        <v>入力済</v>
      </c>
      <c r="AT38" s="548" t="str">
        <f t="shared" si="14"/>
        <v/>
      </c>
      <c r="AU38" s="531" t="str">
        <f t="shared" si="3"/>
        <v>入力済</v>
      </c>
      <c r="AV38" s="531" t="str">
        <f t="shared" si="4"/>
        <v/>
      </c>
      <c r="AW38" s="531" t="str">
        <f t="shared" si="15"/>
        <v/>
      </c>
      <c r="AX38" s="548" t="str">
        <f t="shared" si="5"/>
        <v/>
      </c>
      <c r="AY38" s="531" t="str">
        <f>IFERROR(VLOOKUP(K38,【参考】数式用!$AR$3:$AS$49, 2, FALSE), "")</f>
        <v/>
      </c>
      <c r="AZ38" s="548" t="str">
        <f t="shared" si="16"/>
        <v/>
      </c>
      <c r="BA38" s="551" t="str">
        <f t="shared" si="6"/>
        <v>入力済</v>
      </c>
      <c r="BB38" s="531" t="str">
        <f>IFERROR(VLOOKUP(K38,【参考】数式用!$AX$3:$AY$59, 2, FALSE), "")</f>
        <v/>
      </c>
      <c r="BC38" s="548" t="str">
        <f t="shared" si="17"/>
        <v/>
      </c>
      <c r="BD38" s="551" t="str">
        <f t="shared" si="7"/>
        <v>入力済</v>
      </c>
      <c r="BE38" s="551" t="str">
        <f t="shared" si="18"/>
        <v/>
      </c>
      <c r="BF38" s="551" t="str">
        <f t="shared" si="19"/>
        <v/>
      </c>
      <c r="BG38" s="551" t="str">
        <f t="shared" si="20"/>
        <v/>
      </c>
      <c r="BH38" s="551" t="str">
        <f t="shared" si="8"/>
        <v/>
      </c>
      <c r="BI38" s="551" t="str">
        <f t="shared" si="9"/>
        <v/>
      </c>
      <c r="BK38" s="590"/>
      <c r="BL38" s="587" t="str">
        <f t="shared" si="21"/>
        <v/>
      </c>
      <c r="BM38" s="587" t="str">
        <f t="shared" si="22"/>
        <v/>
      </c>
      <c r="BN38" s="587" t="str">
        <f t="shared" si="23"/>
        <v/>
      </c>
      <c r="BO38" s="588" t="str">
        <f>IF(BM38="","",ROUNDDOWN(L38*VLOOKUP(K38,【参考】数式用!$A$4:$J$42,10,FALSE)*AA38,0))</f>
        <v/>
      </c>
      <c r="BP38" s="587" t="str">
        <f t="shared" si="24"/>
        <v/>
      </c>
      <c r="BQ38" s="587" t="str">
        <f t="shared" si="25"/>
        <v/>
      </c>
      <c r="BR38" s="589" t="str">
        <f t="shared" si="26"/>
        <v/>
      </c>
      <c r="BS38" s="589" t="str">
        <f t="shared" si="27"/>
        <v/>
      </c>
      <c r="BT38" s="587" t="str">
        <f t="shared" si="28"/>
        <v/>
      </c>
      <c r="BU38" s="588" t="str">
        <f>IF(BT38="Ⅱロ有り",ROUNDDOWN(L38*VLOOKUP(K38,【参考】数式用!$A$4:$J$42,10,FALSE)*AA38,0),"")</f>
        <v/>
      </c>
      <c r="BV38" s="587" t="str">
        <f>IF(BT38="Ⅱロなし",ROUNDDOWN(L38*VLOOKUP(K38,【参考】数式用!$A$4:$J$42,8,FALSE)*AA38,0),"")</f>
        <v/>
      </c>
    </row>
    <row r="39" spans="1:74" s="257" customFormat="1" ht="109.9" customHeight="1" thickBot="1">
      <c r="A39" s="303">
        <v>26</v>
      </c>
      <c r="B39" s="933" t="str">
        <f>IF(基本情報入力シート!B61="","",基本情報入力シート!B61)</f>
        <v/>
      </c>
      <c r="C39" s="934"/>
      <c r="D39" s="934"/>
      <c r="E39" s="934"/>
      <c r="F39" s="935"/>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49" t="str">
        <f>IF(基本情報入力シート!AF61=0, "",基本情報入力シート!AF61)</f>
        <v/>
      </c>
      <c r="M39" s="516" t="str">
        <f>IF('別紙様式2-2（個票（４、５月））'!M39="","",'別紙様式2-2（個票（４、５月））'!M39)</f>
        <v/>
      </c>
      <c r="N39" s="515" t="str">
        <f>IF('別紙様式2-2（個票（４、５月））'!N39="","",'別紙様式2-2（個票（４、５月））'!N39)</f>
        <v/>
      </c>
      <c r="O39" s="286"/>
      <c r="P39" s="546" t="str">
        <f>IFERROR(VLOOKUP(K39,【参考】数式用!$A$2:$M$57,MATCH(O39,【参考】数式用!$G$3:$M$3,0)+6,0),"")</f>
        <v/>
      </c>
      <c r="Q39" s="310" t="s">
        <v>118</v>
      </c>
      <c r="R39" s="308"/>
      <c r="S39" s="309" t="s">
        <v>183</v>
      </c>
      <c r="T39" s="308"/>
      <c r="U39" s="309" t="s">
        <v>184</v>
      </c>
      <c r="V39" s="308"/>
      <c r="W39" s="309" t="s">
        <v>183</v>
      </c>
      <c r="X39" s="308"/>
      <c r="Y39" s="309" t="s">
        <v>185</v>
      </c>
      <c r="Z39" s="309" t="s">
        <v>186</v>
      </c>
      <c r="AA39" s="309" t="str">
        <f t="shared" si="29"/>
        <v/>
      </c>
      <c r="AB39" s="305" t="s">
        <v>187</v>
      </c>
      <c r="AC39" s="306" t="str">
        <f t="shared" si="10"/>
        <v/>
      </c>
      <c r="AD39" s="507"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48" t="str">
        <f>IFERROR(VLOOKUP(K39,【参考】数式用!$A$2:$N$57,14,FALSE),"")</f>
        <v/>
      </c>
      <c r="AP39" s="548" t="str">
        <f t="shared" si="13"/>
        <v/>
      </c>
      <c r="AQ39" s="552" t="str">
        <f t="shared" si="1"/>
        <v/>
      </c>
      <c r="AR39" s="552" t="str">
        <f t="shared" si="30"/>
        <v>キャリアパス要件Ⅰ・Ⅱ_</v>
      </c>
      <c r="AS39" s="531" t="str">
        <f t="shared" si="2"/>
        <v>入力済</v>
      </c>
      <c r="AT39" s="548" t="str">
        <f t="shared" si="14"/>
        <v/>
      </c>
      <c r="AU39" s="531" t="str">
        <f t="shared" si="3"/>
        <v>入力済</v>
      </c>
      <c r="AV39" s="531" t="str">
        <f t="shared" si="4"/>
        <v/>
      </c>
      <c r="AW39" s="531" t="str">
        <f t="shared" si="15"/>
        <v/>
      </c>
      <c r="AX39" s="548" t="str">
        <f t="shared" si="5"/>
        <v/>
      </c>
      <c r="AY39" s="531" t="str">
        <f>IFERROR(VLOOKUP(K39,【参考】数式用!$AR$3:$AS$49, 2, FALSE), "")</f>
        <v/>
      </c>
      <c r="AZ39" s="548" t="str">
        <f t="shared" si="16"/>
        <v/>
      </c>
      <c r="BA39" s="551" t="str">
        <f t="shared" si="6"/>
        <v>入力済</v>
      </c>
      <c r="BB39" s="531" t="str">
        <f>IFERROR(VLOOKUP(K39,【参考】数式用!$AX$3:$AY$59, 2, FALSE), "")</f>
        <v/>
      </c>
      <c r="BC39" s="548" t="str">
        <f t="shared" si="17"/>
        <v/>
      </c>
      <c r="BD39" s="551" t="str">
        <f t="shared" si="7"/>
        <v>入力済</v>
      </c>
      <c r="BE39" s="551" t="str">
        <f t="shared" si="18"/>
        <v/>
      </c>
      <c r="BF39" s="551" t="str">
        <f t="shared" si="19"/>
        <v/>
      </c>
      <c r="BG39" s="551" t="str">
        <f t="shared" si="20"/>
        <v/>
      </c>
      <c r="BH39" s="551" t="str">
        <f t="shared" si="8"/>
        <v/>
      </c>
      <c r="BI39" s="551" t="str">
        <f t="shared" si="9"/>
        <v/>
      </c>
      <c r="BK39" s="590"/>
      <c r="BL39" s="587" t="str">
        <f t="shared" si="21"/>
        <v/>
      </c>
      <c r="BM39" s="587" t="str">
        <f t="shared" si="22"/>
        <v/>
      </c>
      <c r="BN39" s="587" t="str">
        <f t="shared" si="23"/>
        <v/>
      </c>
      <c r="BO39" s="588" t="str">
        <f>IF(BM39="","",ROUNDDOWN(L39*VLOOKUP(K39,【参考】数式用!$A$4:$J$42,10,FALSE)*AA39,0))</f>
        <v/>
      </c>
      <c r="BP39" s="587" t="str">
        <f t="shared" si="24"/>
        <v/>
      </c>
      <c r="BQ39" s="587" t="str">
        <f t="shared" si="25"/>
        <v/>
      </c>
      <c r="BR39" s="589" t="str">
        <f t="shared" si="26"/>
        <v/>
      </c>
      <c r="BS39" s="589" t="str">
        <f t="shared" si="27"/>
        <v/>
      </c>
      <c r="BT39" s="587" t="str">
        <f t="shared" si="28"/>
        <v/>
      </c>
      <c r="BU39" s="588" t="str">
        <f>IF(BT39="Ⅱロ有り",ROUNDDOWN(L39*VLOOKUP(K39,【参考】数式用!$A$4:$J$42,10,FALSE)*AA39,0),"")</f>
        <v/>
      </c>
      <c r="BV39" s="587" t="str">
        <f>IF(BT39="Ⅱロなし",ROUNDDOWN(L39*VLOOKUP(K39,【参考】数式用!$A$4:$J$42,8,FALSE)*AA39,0),"")</f>
        <v/>
      </c>
    </row>
    <row r="40" spans="1:74" s="257" customFormat="1" ht="109.9" customHeight="1" thickBot="1">
      <c r="A40" s="303">
        <v>27</v>
      </c>
      <c r="B40" s="933" t="str">
        <f>IF(基本情報入力シート!B62="","",基本情報入力シート!B62)</f>
        <v/>
      </c>
      <c r="C40" s="934"/>
      <c r="D40" s="934"/>
      <c r="E40" s="934"/>
      <c r="F40" s="935"/>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49" t="str">
        <f>IF(基本情報入力シート!AF62=0, "",基本情報入力シート!AF62)</f>
        <v/>
      </c>
      <c r="M40" s="516" t="str">
        <f>IF('別紙様式2-2（個票（４、５月））'!M40="","",'別紙様式2-2（個票（４、５月））'!M40)</f>
        <v/>
      </c>
      <c r="N40" s="515" t="str">
        <f>IF('別紙様式2-2（個票（４、５月））'!N40="","",'別紙様式2-2（個票（４、５月））'!N40)</f>
        <v/>
      </c>
      <c r="O40" s="286"/>
      <c r="P40" s="546" t="str">
        <f>IFERROR(VLOOKUP(K40,【参考】数式用!$A$2:$M$57,MATCH(O40,【参考】数式用!$G$3:$M$3,0)+6,0),"")</f>
        <v/>
      </c>
      <c r="Q40" s="310" t="s">
        <v>118</v>
      </c>
      <c r="R40" s="308"/>
      <c r="S40" s="309" t="s">
        <v>183</v>
      </c>
      <c r="T40" s="308"/>
      <c r="U40" s="309" t="s">
        <v>184</v>
      </c>
      <c r="V40" s="308"/>
      <c r="W40" s="309" t="s">
        <v>183</v>
      </c>
      <c r="X40" s="308"/>
      <c r="Y40" s="309" t="s">
        <v>120</v>
      </c>
      <c r="Z40" s="309" t="s">
        <v>186</v>
      </c>
      <c r="AA40" s="309" t="str">
        <f t="shared" si="29"/>
        <v/>
      </c>
      <c r="AB40" s="305" t="s">
        <v>187</v>
      </c>
      <c r="AC40" s="306" t="str">
        <f t="shared" si="10"/>
        <v/>
      </c>
      <c r="AD40" s="507"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48" t="str">
        <f>IFERROR(VLOOKUP(K40,【参考】数式用!$A$2:$N$57,14,FALSE),"")</f>
        <v/>
      </c>
      <c r="AP40" s="548" t="str">
        <f t="shared" si="13"/>
        <v/>
      </c>
      <c r="AQ40" s="552" t="str">
        <f t="shared" si="1"/>
        <v/>
      </c>
      <c r="AR40" s="552" t="str">
        <f t="shared" si="30"/>
        <v>キャリアパス要件Ⅰ・Ⅱ_</v>
      </c>
      <c r="AS40" s="531" t="str">
        <f t="shared" si="2"/>
        <v>入力済</v>
      </c>
      <c r="AT40" s="548" t="str">
        <f t="shared" si="14"/>
        <v/>
      </c>
      <c r="AU40" s="531" t="str">
        <f t="shared" si="3"/>
        <v>入力済</v>
      </c>
      <c r="AV40" s="531" t="str">
        <f t="shared" si="4"/>
        <v/>
      </c>
      <c r="AW40" s="531" t="str">
        <f t="shared" si="15"/>
        <v/>
      </c>
      <c r="AX40" s="548" t="str">
        <f t="shared" si="5"/>
        <v/>
      </c>
      <c r="AY40" s="531" t="str">
        <f>IFERROR(VLOOKUP(K40,【参考】数式用!$AR$3:$AS$49, 2, FALSE), "")</f>
        <v/>
      </c>
      <c r="AZ40" s="548" t="str">
        <f t="shared" si="16"/>
        <v/>
      </c>
      <c r="BA40" s="551" t="str">
        <f t="shared" si="6"/>
        <v>入力済</v>
      </c>
      <c r="BB40" s="531" t="str">
        <f>IFERROR(VLOOKUP(K40,【参考】数式用!$AX$3:$AY$59, 2, FALSE), "")</f>
        <v/>
      </c>
      <c r="BC40" s="548" t="str">
        <f t="shared" si="17"/>
        <v/>
      </c>
      <c r="BD40" s="551" t="str">
        <f t="shared" si="7"/>
        <v>入力済</v>
      </c>
      <c r="BE40" s="551" t="str">
        <f t="shared" si="18"/>
        <v/>
      </c>
      <c r="BF40" s="551" t="str">
        <f t="shared" si="19"/>
        <v/>
      </c>
      <c r="BG40" s="551" t="str">
        <f t="shared" si="20"/>
        <v/>
      </c>
      <c r="BH40" s="551" t="str">
        <f t="shared" si="8"/>
        <v/>
      </c>
      <c r="BI40" s="551" t="str">
        <f t="shared" si="9"/>
        <v/>
      </c>
      <c r="BK40" s="590"/>
      <c r="BL40" s="587" t="str">
        <f t="shared" si="21"/>
        <v/>
      </c>
      <c r="BM40" s="587" t="str">
        <f t="shared" si="22"/>
        <v/>
      </c>
      <c r="BN40" s="587" t="str">
        <f t="shared" si="23"/>
        <v/>
      </c>
      <c r="BO40" s="588" t="str">
        <f>IF(BM40="","",ROUNDDOWN(L40*VLOOKUP(K40,【参考】数式用!$A$4:$J$42,10,FALSE)*AA40,0))</f>
        <v/>
      </c>
      <c r="BP40" s="587" t="str">
        <f t="shared" si="24"/>
        <v/>
      </c>
      <c r="BQ40" s="587" t="str">
        <f t="shared" si="25"/>
        <v/>
      </c>
      <c r="BR40" s="589" t="str">
        <f t="shared" si="26"/>
        <v/>
      </c>
      <c r="BS40" s="589" t="str">
        <f t="shared" si="27"/>
        <v/>
      </c>
      <c r="BT40" s="587" t="str">
        <f t="shared" si="28"/>
        <v/>
      </c>
      <c r="BU40" s="588" t="str">
        <f>IF(BT40="Ⅱロ有り",ROUNDDOWN(L40*VLOOKUP(K40,【参考】数式用!$A$4:$J$42,10,FALSE)*AA40,0),"")</f>
        <v/>
      </c>
      <c r="BV40" s="587" t="str">
        <f>IF(BT40="Ⅱロなし",ROUNDDOWN(L40*VLOOKUP(K40,【参考】数式用!$A$4:$J$42,8,FALSE)*AA40,0),"")</f>
        <v/>
      </c>
    </row>
    <row r="41" spans="1:74" s="257" customFormat="1" ht="109.9" customHeight="1" thickBot="1">
      <c r="A41" s="303">
        <v>28</v>
      </c>
      <c r="B41" s="933" t="str">
        <f>IF(基本情報入力シート!B63="","",基本情報入力シート!B63)</f>
        <v/>
      </c>
      <c r="C41" s="934"/>
      <c r="D41" s="934"/>
      <c r="E41" s="934"/>
      <c r="F41" s="935"/>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49" t="str">
        <f>IF(基本情報入力シート!AF63=0, "",基本情報入力シート!AF63)</f>
        <v/>
      </c>
      <c r="M41" s="516" t="str">
        <f>IF('別紙様式2-2（個票（４、５月））'!M41="","",'別紙様式2-2（個票（４、５月））'!M41)</f>
        <v/>
      </c>
      <c r="N41" s="515" t="str">
        <f>IF('別紙様式2-2（個票（４、５月））'!N41="","",'別紙様式2-2（個票（４、５月））'!N41)</f>
        <v/>
      </c>
      <c r="O41" s="286"/>
      <c r="P41" s="546" t="str">
        <f>IFERROR(VLOOKUP(K41,【参考】数式用!$A$2:$M$57,MATCH(O41,【参考】数式用!$G$3:$M$3,0)+6,0),"")</f>
        <v/>
      </c>
      <c r="Q41" s="310" t="s">
        <v>118</v>
      </c>
      <c r="R41" s="308"/>
      <c r="S41" s="309" t="s">
        <v>183</v>
      </c>
      <c r="T41" s="308"/>
      <c r="U41" s="309" t="s">
        <v>184</v>
      </c>
      <c r="V41" s="308"/>
      <c r="W41" s="309" t="s">
        <v>183</v>
      </c>
      <c r="X41" s="308"/>
      <c r="Y41" s="309" t="s">
        <v>185</v>
      </c>
      <c r="Z41" s="309" t="s">
        <v>186</v>
      </c>
      <c r="AA41" s="309" t="str">
        <f t="shared" si="29"/>
        <v/>
      </c>
      <c r="AB41" s="305" t="s">
        <v>187</v>
      </c>
      <c r="AC41" s="306" t="str">
        <f t="shared" si="10"/>
        <v/>
      </c>
      <c r="AD41" s="507"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48" t="str">
        <f>IFERROR(VLOOKUP(K41,【参考】数式用!$A$2:$N$57,14,FALSE),"")</f>
        <v/>
      </c>
      <c r="AP41" s="548" t="str">
        <f t="shared" si="13"/>
        <v/>
      </c>
      <c r="AQ41" s="552" t="str">
        <f t="shared" si="1"/>
        <v/>
      </c>
      <c r="AR41" s="552" t="str">
        <f t="shared" si="30"/>
        <v>キャリアパス要件Ⅰ・Ⅱ_</v>
      </c>
      <c r="AS41" s="531" t="str">
        <f t="shared" si="2"/>
        <v>入力済</v>
      </c>
      <c r="AT41" s="548" t="str">
        <f t="shared" si="14"/>
        <v/>
      </c>
      <c r="AU41" s="531" t="str">
        <f t="shared" si="3"/>
        <v>入力済</v>
      </c>
      <c r="AV41" s="531" t="str">
        <f t="shared" si="4"/>
        <v/>
      </c>
      <c r="AW41" s="531" t="str">
        <f t="shared" si="15"/>
        <v/>
      </c>
      <c r="AX41" s="548" t="str">
        <f t="shared" si="5"/>
        <v/>
      </c>
      <c r="AY41" s="531" t="str">
        <f>IFERROR(VLOOKUP(K41,【参考】数式用!$AR$3:$AS$49, 2, FALSE), "")</f>
        <v/>
      </c>
      <c r="AZ41" s="548" t="str">
        <f t="shared" si="16"/>
        <v/>
      </c>
      <c r="BA41" s="551" t="str">
        <f t="shared" si="6"/>
        <v>入力済</v>
      </c>
      <c r="BB41" s="531" t="str">
        <f>IFERROR(VLOOKUP(K41,【参考】数式用!$AX$3:$AY$59, 2, FALSE), "")</f>
        <v/>
      </c>
      <c r="BC41" s="548" t="str">
        <f t="shared" si="17"/>
        <v/>
      </c>
      <c r="BD41" s="551" t="str">
        <f t="shared" si="7"/>
        <v>入力済</v>
      </c>
      <c r="BE41" s="551" t="str">
        <f t="shared" si="18"/>
        <v/>
      </c>
      <c r="BF41" s="551" t="str">
        <f t="shared" si="19"/>
        <v/>
      </c>
      <c r="BG41" s="551" t="str">
        <f t="shared" si="20"/>
        <v/>
      </c>
      <c r="BH41" s="551" t="str">
        <f t="shared" si="8"/>
        <v/>
      </c>
      <c r="BI41" s="551" t="str">
        <f t="shared" si="9"/>
        <v/>
      </c>
      <c r="BK41" s="590"/>
      <c r="BL41" s="587" t="str">
        <f t="shared" si="21"/>
        <v/>
      </c>
      <c r="BM41" s="587" t="str">
        <f t="shared" si="22"/>
        <v/>
      </c>
      <c r="BN41" s="587" t="str">
        <f t="shared" si="23"/>
        <v/>
      </c>
      <c r="BO41" s="588" t="str">
        <f>IF(BM41="","",ROUNDDOWN(L41*VLOOKUP(K41,【参考】数式用!$A$4:$J$42,10,FALSE)*AA41,0))</f>
        <v/>
      </c>
      <c r="BP41" s="587" t="str">
        <f t="shared" si="24"/>
        <v/>
      </c>
      <c r="BQ41" s="587" t="str">
        <f t="shared" si="25"/>
        <v/>
      </c>
      <c r="BR41" s="589" t="str">
        <f t="shared" si="26"/>
        <v/>
      </c>
      <c r="BS41" s="589" t="str">
        <f t="shared" si="27"/>
        <v/>
      </c>
      <c r="BT41" s="587" t="str">
        <f t="shared" si="28"/>
        <v/>
      </c>
      <c r="BU41" s="588" t="str">
        <f>IF(BT41="Ⅱロ有り",ROUNDDOWN(L41*VLOOKUP(K41,【参考】数式用!$A$4:$J$42,10,FALSE)*AA41,0),"")</f>
        <v/>
      </c>
      <c r="BV41" s="587" t="str">
        <f>IF(BT41="Ⅱロなし",ROUNDDOWN(L41*VLOOKUP(K41,【参考】数式用!$A$4:$J$42,8,FALSE)*AA41,0),"")</f>
        <v/>
      </c>
    </row>
    <row r="42" spans="1:74" ht="109.9" customHeight="1" thickBot="1">
      <c r="A42" s="303">
        <v>29</v>
      </c>
      <c r="B42" s="933" t="str">
        <f>IF(基本情報入力シート!B64="","",基本情報入力シート!B64)</f>
        <v/>
      </c>
      <c r="C42" s="934"/>
      <c r="D42" s="934"/>
      <c r="E42" s="934"/>
      <c r="F42" s="935"/>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49" t="str">
        <f>IF(基本情報入力シート!AF64=0, "",基本情報入力シート!AF64)</f>
        <v/>
      </c>
      <c r="M42" s="516" t="str">
        <f>IF('別紙様式2-2（個票（４、５月））'!M42="","",'別紙様式2-2（個票（４、５月））'!M42)</f>
        <v/>
      </c>
      <c r="N42" s="515" t="str">
        <f>IF('別紙様式2-2（個票（４、５月））'!N42="","",'別紙様式2-2（個票（４、５月））'!N42)</f>
        <v/>
      </c>
      <c r="O42" s="286"/>
      <c r="P42" s="546" t="str">
        <f>IFERROR(VLOOKUP(K42,【参考】数式用!$A$2:$M$57,MATCH(O42,【参考】数式用!$G$3:$M$3,0)+6,0),"")</f>
        <v/>
      </c>
      <c r="Q42" s="310" t="s">
        <v>118</v>
      </c>
      <c r="R42" s="308"/>
      <c r="S42" s="309" t="s">
        <v>183</v>
      </c>
      <c r="T42" s="308"/>
      <c r="U42" s="309" t="s">
        <v>184</v>
      </c>
      <c r="V42" s="308"/>
      <c r="W42" s="309" t="s">
        <v>183</v>
      </c>
      <c r="X42" s="308"/>
      <c r="Y42" s="309" t="s">
        <v>185</v>
      </c>
      <c r="Z42" s="309" t="s">
        <v>186</v>
      </c>
      <c r="AA42" s="309" t="str">
        <f t="shared" si="29"/>
        <v/>
      </c>
      <c r="AB42" s="305" t="s">
        <v>187</v>
      </c>
      <c r="AC42" s="306" t="str">
        <f t="shared" si="10"/>
        <v/>
      </c>
      <c r="AD42" s="507"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48" t="str">
        <f>IFERROR(VLOOKUP(K42,【参考】数式用!$A$2:$N$57,14,FALSE),"")</f>
        <v/>
      </c>
      <c r="AP42" s="548" t="str">
        <f t="shared" si="13"/>
        <v/>
      </c>
      <c r="AQ42" s="552" t="str">
        <f t="shared" si="1"/>
        <v/>
      </c>
      <c r="AR42" s="552" t="str">
        <f t="shared" si="30"/>
        <v>キャリアパス要件Ⅰ・Ⅱ_</v>
      </c>
      <c r="AS42" s="531" t="str">
        <f t="shared" si="2"/>
        <v>入力済</v>
      </c>
      <c r="AT42" s="548" t="str">
        <f t="shared" si="14"/>
        <v/>
      </c>
      <c r="AU42" s="531" t="str">
        <f t="shared" si="3"/>
        <v>入力済</v>
      </c>
      <c r="AV42" s="531" t="str">
        <f t="shared" si="4"/>
        <v/>
      </c>
      <c r="AW42" s="531" t="str">
        <f t="shared" si="15"/>
        <v/>
      </c>
      <c r="AX42" s="548" t="str">
        <f t="shared" si="5"/>
        <v/>
      </c>
      <c r="AY42" s="531" t="str">
        <f>IFERROR(VLOOKUP(K42,【参考】数式用!$AR$3:$AS$49, 2, FALSE), "")</f>
        <v/>
      </c>
      <c r="AZ42" s="548" t="str">
        <f t="shared" si="16"/>
        <v/>
      </c>
      <c r="BA42" s="551" t="str">
        <f t="shared" si="6"/>
        <v>入力済</v>
      </c>
      <c r="BB42" s="531" t="str">
        <f>IFERROR(VLOOKUP(K42,【参考】数式用!$AX$3:$AY$59, 2, FALSE), "")</f>
        <v/>
      </c>
      <c r="BC42" s="548" t="str">
        <f t="shared" si="17"/>
        <v/>
      </c>
      <c r="BD42" s="551" t="str">
        <f t="shared" si="7"/>
        <v>入力済</v>
      </c>
      <c r="BE42" s="551" t="str">
        <f t="shared" si="18"/>
        <v/>
      </c>
      <c r="BF42" s="551" t="str">
        <f t="shared" si="19"/>
        <v/>
      </c>
      <c r="BG42" s="551" t="str">
        <f t="shared" si="20"/>
        <v/>
      </c>
      <c r="BH42" s="551" t="str">
        <f t="shared" si="8"/>
        <v/>
      </c>
      <c r="BI42" s="551" t="str">
        <f t="shared" si="9"/>
        <v/>
      </c>
      <c r="BK42" s="27"/>
      <c r="BL42" s="587" t="str">
        <f t="shared" si="21"/>
        <v/>
      </c>
      <c r="BM42" s="587" t="str">
        <f t="shared" si="22"/>
        <v/>
      </c>
      <c r="BN42" s="587" t="str">
        <f t="shared" si="23"/>
        <v/>
      </c>
      <c r="BO42" s="588" t="str">
        <f>IF(BM42="","",ROUNDDOWN(L42*VLOOKUP(K42,【参考】数式用!$A$4:$J$42,10,FALSE)*AA42,0))</f>
        <v/>
      </c>
      <c r="BP42" s="587" t="str">
        <f t="shared" si="24"/>
        <v/>
      </c>
      <c r="BQ42" s="587" t="str">
        <f t="shared" si="25"/>
        <v/>
      </c>
      <c r="BR42" s="589" t="str">
        <f t="shared" si="26"/>
        <v/>
      </c>
      <c r="BS42" s="589" t="str">
        <f t="shared" si="27"/>
        <v/>
      </c>
      <c r="BT42" s="587" t="str">
        <f t="shared" si="28"/>
        <v/>
      </c>
      <c r="BU42" s="588" t="str">
        <f>IF(BT42="Ⅱロ有り",ROUNDDOWN(L42*VLOOKUP(K42,【参考】数式用!$A$4:$J$42,10,FALSE)*AA42,0),"")</f>
        <v/>
      </c>
      <c r="BV42" s="587" t="str">
        <f>IF(BT42="Ⅱロなし",ROUNDDOWN(L42*VLOOKUP(K42,【参考】数式用!$A$4:$J$42,8,FALSE)*AA42,0),"")</f>
        <v/>
      </c>
    </row>
    <row r="43" spans="1:74" ht="109.9" customHeight="1" thickBot="1">
      <c r="A43" s="303">
        <v>30</v>
      </c>
      <c r="B43" s="933" t="str">
        <f>IF(基本情報入力シート!B65="","",基本情報入力シート!B65)</f>
        <v/>
      </c>
      <c r="C43" s="934"/>
      <c r="D43" s="934"/>
      <c r="E43" s="934"/>
      <c r="F43" s="935"/>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49" t="str">
        <f>IF(基本情報入力シート!AF65=0, "",基本情報入力シート!AF65)</f>
        <v/>
      </c>
      <c r="M43" s="516" t="str">
        <f>IF('別紙様式2-2（個票（４、５月））'!M43="","",'別紙様式2-2（個票（４、５月））'!M43)</f>
        <v/>
      </c>
      <c r="N43" s="515" t="str">
        <f>IF('別紙様式2-2（個票（４、５月））'!N43="","",'別紙様式2-2（個票（４、５月））'!N43)</f>
        <v/>
      </c>
      <c r="O43" s="286"/>
      <c r="P43" s="546" t="str">
        <f>IFERROR(VLOOKUP(K43,【参考】数式用!$A$2:$M$57,MATCH(O43,【参考】数式用!$G$3:$M$3,0)+6,0),"")</f>
        <v/>
      </c>
      <c r="Q43" s="310" t="s">
        <v>118</v>
      </c>
      <c r="R43" s="308"/>
      <c r="S43" s="309" t="s">
        <v>183</v>
      </c>
      <c r="T43" s="308"/>
      <c r="U43" s="309" t="s">
        <v>184</v>
      </c>
      <c r="V43" s="308"/>
      <c r="W43" s="309" t="s">
        <v>183</v>
      </c>
      <c r="X43" s="308"/>
      <c r="Y43" s="309" t="s">
        <v>185</v>
      </c>
      <c r="Z43" s="309" t="s">
        <v>186</v>
      </c>
      <c r="AA43" s="309" t="str">
        <f t="shared" si="29"/>
        <v/>
      </c>
      <c r="AB43" s="305" t="s">
        <v>187</v>
      </c>
      <c r="AC43" s="306" t="str">
        <f t="shared" si="10"/>
        <v/>
      </c>
      <c r="AD43" s="507"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48" t="str">
        <f>IFERROR(VLOOKUP(K43,【参考】数式用!$A$2:$N$57,14,FALSE),"")</f>
        <v/>
      </c>
      <c r="AP43" s="548" t="str">
        <f t="shared" si="13"/>
        <v/>
      </c>
      <c r="AQ43" s="552" t="str">
        <f t="shared" si="1"/>
        <v/>
      </c>
      <c r="AR43" s="552" t="str">
        <f t="shared" si="30"/>
        <v>キャリアパス要件Ⅰ・Ⅱ_</v>
      </c>
      <c r="AS43" s="531" t="str">
        <f t="shared" si="2"/>
        <v>入力済</v>
      </c>
      <c r="AT43" s="548" t="str">
        <f t="shared" si="14"/>
        <v/>
      </c>
      <c r="AU43" s="531" t="str">
        <f t="shared" si="3"/>
        <v>入力済</v>
      </c>
      <c r="AV43" s="531" t="str">
        <f t="shared" si="4"/>
        <v/>
      </c>
      <c r="AW43" s="531" t="str">
        <f t="shared" si="15"/>
        <v/>
      </c>
      <c r="AX43" s="548" t="str">
        <f t="shared" si="5"/>
        <v/>
      </c>
      <c r="AY43" s="531" t="str">
        <f>IFERROR(VLOOKUP(K43,【参考】数式用!$AR$3:$AS$49, 2, FALSE), "")</f>
        <v/>
      </c>
      <c r="AZ43" s="548" t="str">
        <f t="shared" si="16"/>
        <v/>
      </c>
      <c r="BA43" s="551" t="str">
        <f t="shared" si="6"/>
        <v>入力済</v>
      </c>
      <c r="BB43" s="531" t="str">
        <f>IFERROR(VLOOKUP(K43,【参考】数式用!$AX$3:$AY$59, 2, FALSE), "")</f>
        <v/>
      </c>
      <c r="BC43" s="548" t="str">
        <f t="shared" si="17"/>
        <v/>
      </c>
      <c r="BD43" s="551" t="str">
        <f t="shared" si="7"/>
        <v>入力済</v>
      </c>
      <c r="BE43" s="551" t="str">
        <f t="shared" si="18"/>
        <v/>
      </c>
      <c r="BF43" s="551" t="str">
        <f t="shared" si="19"/>
        <v/>
      </c>
      <c r="BG43" s="551" t="str">
        <f t="shared" si="20"/>
        <v/>
      </c>
      <c r="BH43" s="551" t="str">
        <f t="shared" si="8"/>
        <v/>
      </c>
      <c r="BI43" s="551" t="str">
        <f t="shared" si="9"/>
        <v/>
      </c>
      <c r="BK43" s="27"/>
      <c r="BL43" s="587" t="str">
        <f t="shared" si="21"/>
        <v/>
      </c>
      <c r="BM43" s="587" t="str">
        <f t="shared" si="22"/>
        <v/>
      </c>
      <c r="BN43" s="587" t="str">
        <f t="shared" si="23"/>
        <v/>
      </c>
      <c r="BO43" s="588" t="str">
        <f>IF(BM43="","",ROUNDDOWN(L43*VLOOKUP(K43,【参考】数式用!$A$4:$J$42,10,FALSE)*AA43,0))</f>
        <v/>
      </c>
      <c r="BP43" s="587" t="str">
        <f t="shared" si="24"/>
        <v/>
      </c>
      <c r="BQ43" s="587" t="str">
        <f t="shared" si="25"/>
        <v/>
      </c>
      <c r="BR43" s="589" t="str">
        <f t="shared" si="26"/>
        <v/>
      </c>
      <c r="BS43" s="589" t="str">
        <f t="shared" si="27"/>
        <v/>
      </c>
      <c r="BT43" s="587" t="str">
        <f t="shared" si="28"/>
        <v/>
      </c>
      <c r="BU43" s="588" t="str">
        <f>IF(BT43="Ⅱロ有り",ROUNDDOWN(L43*VLOOKUP(K43,【参考】数式用!$A$4:$J$42,10,FALSE)*AA43,0),"")</f>
        <v/>
      </c>
      <c r="BV43" s="587" t="str">
        <f>IF(BT43="Ⅱロなし",ROUNDDOWN(L43*VLOOKUP(K43,【参考】数式用!$A$4:$J$42,8,FALSE)*AA43,0),"")</f>
        <v/>
      </c>
    </row>
    <row r="44" spans="1:74" ht="109.9" customHeight="1" thickBot="1">
      <c r="A44" s="303">
        <v>31</v>
      </c>
      <c r="B44" s="933" t="str">
        <f>IF(基本情報入力シート!B66="","",基本情報入力シート!B66)</f>
        <v/>
      </c>
      <c r="C44" s="934"/>
      <c r="D44" s="934"/>
      <c r="E44" s="934"/>
      <c r="F44" s="935"/>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49" t="str">
        <f>IF(基本情報入力シート!AF66=0, "",基本情報入力シート!AF66)</f>
        <v/>
      </c>
      <c r="M44" s="516" t="str">
        <f>IF('別紙様式2-2（個票（４、５月））'!M44="","",'別紙様式2-2（個票（４、５月））'!M44)</f>
        <v/>
      </c>
      <c r="N44" s="515" t="str">
        <f>IF('別紙様式2-2（個票（４、５月））'!N44="","",'別紙様式2-2（個票（４、５月））'!N44)</f>
        <v/>
      </c>
      <c r="O44" s="286"/>
      <c r="P44" s="546" t="str">
        <f>IFERROR(VLOOKUP(K44,【参考】数式用!$A$2:$M$57,MATCH(O44,【参考】数式用!$G$3:$M$3,0)+6,0),"")</f>
        <v/>
      </c>
      <c r="Q44" s="310" t="s">
        <v>118</v>
      </c>
      <c r="R44" s="308"/>
      <c r="S44" s="309" t="s">
        <v>183</v>
      </c>
      <c r="T44" s="308"/>
      <c r="U44" s="309" t="s">
        <v>184</v>
      </c>
      <c r="V44" s="308"/>
      <c r="W44" s="309" t="s">
        <v>183</v>
      </c>
      <c r="X44" s="308"/>
      <c r="Y44" s="309" t="s">
        <v>120</v>
      </c>
      <c r="Z44" s="309" t="s">
        <v>186</v>
      </c>
      <c r="AA44" s="309" t="str">
        <f t="shared" si="29"/>
        <v/>
      </c>
      <c r="AB44" s="305" t="s">
        <v>187</v>
      </c>
      <c r="AC44" s="306" t="str">
        <f t="shared" si="10"/>
        <v/>
      </c>
      <c r="AD44" s="507"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48" t="str">
        <f>IFERROR(VLOOKUP(K44,【参考】数式用!$A$2:$N$57,14,FALSE),"")</f>
        <v/>
      </c>
      <c r="AP44" s="548" t="str">
        <f t="shared" si="13"/>
        <v/>
      </c>
      <c r="AQ44" s="552" t="str">
        <f t="shared" si="1"/>
        <v/>
      </c>
      <c r="AR44" s="552" t="str">
        <f t="shared" si="30"/>
        <v>キャリアパス要件Ⅰ・Ⅱ_</v>
      </c>
      <c r="AS44" s="531" t="str">
        <f t="shared" si="2"/>
        <v>入力済</v>
      </c>
      <c r="AT44" s="548" t="str">
        <f t="shared" si="14"/>
        <v/>
      </c>
      <c r="AU44" s="531" t="str">
        <f t="shared" si="3"/>
        <v>入力済</v>
      </c>
      <c r="AV44" s="531" t="str">
        <f t="shared" si="4"/>
        <v/>
      </c>
      <c r="AW44" s="531" t="str">
        <f t="shared" si="15"/>
        <v/>
      </c>
      <c r="AX44" s="548" t="str">
        <f t="shared" si="5"/>
        <v/>
      </c>
      <c r="AY44" s="531" t="str">
        <f>IFERROR(VLOOKUP(K44,【参考】数式用!$AR$3:$AS$49, 2, FALSE), "")</f>
        <v/>
      </c>
      <c r="AZ44" s="548" t="str">
        <f t="shared" si="16"/>
        <v/>
      </c>
      <c r="BA44" s="551" t="str">
        <f t="shared" si="6"/>
        <v>入力済</v>
      </c>
      <c r="BB44" s="531" t="str">
        <f>IFERROR(VLOOKUP(K44,【参考】数式用!$AX$3:$AY$59, 2, FALSE), "")</f>
        <v/>
      </c>
      <c r="BC44" s="548" t="str">
        <f t="shared" si="17"/>
        <v/>
      </c>
      <c r="BD44" s="551" t="str">
        <f t="shared" si="7"/>
        <v>入力済</v>
      </c>
      <c r="BE44" s="551" t="str">
        <f t="shared" si="18"/>
        <v/>
      </c>
      <c r="BF44" s="551" t="str">
        <f t="shared" si="19"/>
        <v/>
      </c>
      <c r="BG44" s="551" t="str">
        <f t="shared" si="20"/>
        <v/>
      </c>
      <c r="BH44" s="551" t="str">
        <f t="shared" si="8"/>
        <v/>
      </c>
      <c r="BI44" s="551" t="str">
        <f t="shared" si="9"/>
        <v/>
      </c>
      <c r="BK44" s="27"/>
      <c r="BL44" s="587" t="str">
        <f t="shared" si="21"/>
        <v/>
      </c>
      <c r="BM44" s="587" t="str">
        <f t="shared" si="22"/>
        <v/>
      </c>
      <c r="BN44" s="587" t="str">
        <f t="shared" si="23"/>
        <v/>
      </c>
      <c r="BO44" s="588" t="str">
        <f>IF(BM44="","",ROUNDDOWN(L44*VLOOKUP(K44,【参考】数式用!$A$4:$J$42,10,FALSE)*AA44,0))</f>
        <v/>
      </c>
      <c r="BP44" s="587" t="str">
        <f t="shared" si="24"/>
        <v/>
      </c>
      <c r="BQ44" s="587" t="str">
        <f t="shared" si="25"/>
        <v/>
      </c>
      <c r="BR44" s="589" t="str">
        <f t="shared" si="26"/>
        <v/>
      </c>
      <c r="BS44" s="589" t="str">
        <f t="shared" si="27"/>
        <v/>
      </c>
      <c r="BT44" s="587" t="str">
        <f t="shared" si="28"/>
        <v/>
      </c>
      <c r="BU44" s="588" t="str">
        <f>IF(BT44="Ⅱロ有り",ROUNDDOWN(L44*VLOOKUP(K44,【参考】数式用!$A$4:$J$42,10,FALSE)*AA44,0),"")</f>
        <v/>
      </c>
      <c r="BV44" s="587" t="str">
        <f>IF(BT44="Ⅱロなし",ROUNDDOWN(L44*VLOOKUP(K44,【参考】数式用!$A$4:$J$42,8,FALSE)*AA44,0),"")</f>
        <v/>
      </c>
    </row>
    <row r="45" spans="1:74" ht="109.9" customHeight="1" thickBot="1">
      <c r="A45" s="303">
        <v>32</v>
      </c>
      <c r="B45" s="933" t="str">
        <f>IF(基本情報入力シート!B67="","",基本情報入力シート!B67)</f>
        <v/>
      </c>
      <c r="C45" s="934"/>
      <c r="D45" s="934"/>
      <c r="E45" s="934"/>
      <c r="F45" s="935"/>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49" t="str">
        <f>IF(基本情報入力シート!AF67=0, "",基本情報入力シート!AF67)</f>
        <v/>
      </c>
      <c r="M45" s="516" t="str">
        <f>IF('別紙様式2-2（個票（４、５月））'!M45="","",'別紙様式2-2（個票（４、５月））'!M45)</f>
        <v/>
      </c>
      <c r="N45" s="515" t="str">
        <f>IF('別紙様式2-2（個票（４、５月））'!N45="","",'別紙様式2-2（個票（４、５月））'!N45)</f>
        <v/>
      </c>
      <c r="O45" s="286"/>
      <c r="P45" s="546" t="str">
        <f>IFERROR(VLOOKUP(K45,【参考】数式用!$A$2:$M$57,MATCH(O45,【参考】数式用!$G$3:$M$3,0)+6,0),"")</f>
        <v/>
      </c>
      <c r="Q45" s="310" t="s">
        <v>118</v>
      </c>
      <c r="R45" s="308"/>
      <c r="S45" s="309" t="s">
        <v>183</v>
      </c>
      <c r="T45" s="308"/>
      <c r="U45" s="309" t="s">
        <v>184</v>
      </c>
      <c r="V45" s="308"/>
      <c r="W45" s="309" t="s">
        <v>183</v>
      </c>
      <c r="X45" s="308"/>
      <c r="Y45" s="309" t="s">
        <v>120</v>
      </c>
      <c r="Z45" s="309" t="s">
        <v>186</v>
      </c>
      <c r="AA45" s="309" t="str">
        <f t="shared" si="29"/>
        <v/>
      </c>
      <c r="AB45" s="305" t="s">
        <v>187</v>
      </c>
      <c r="AC45" s="306" t="str">
        <f t="shared" si="10"/>
        <v/>
      </c>
      <c r="AD45" s="507"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48" t="str">
        <f>IFERROR(VLOOKUP(K45,【参考】数式用!$A$2:$N$57,14,FALSE),"")</f>
        <v/>
      </c>
      <c r="AP45" s="548" t="str">
        <f t="shared" si="13"/>
        <v/>
      </c>
      <c r="AQ45" s="552" t="str">
        <f t="shared" ref="AQ45:AQ76" si="32">IF(AND(AE45&lt;&gt;0,AE45&lt;&gt;"",AO45="加算対象"),IF(AF45="○","入力済","未入力"),"")</f>
        <v/>
      </c>
      <c r="AR45" s="552" t="str">
        <f t="shared" si="30"/>
        <v>キャリアパス要件Ⅰ・Ⅱ_</v>
      </c>
      <c r="AS45" s="531" t="str">
        <f t="shared" ref="AS45:AS76" si="33">IF(AND(O45&lt;&gt;"", AG45=""), "未入力", "入力済")</f>
        <v>入力済</v>
      </c>
      <c r="AT45" s="548" t="str">
        <f t="shared" si="14"/>
        <v/>
      </c>
      <c r="AU45" s="531" t="str">
        <f t="shared" ref="AU45:AU76" si="34">IF(AND(O45&lt;&gt;"", O45&lt;&gt;"処遇改善加算Ⅳ",O45&lt;&gt;"処遇改善加算", AH45=""), "未入力", "入力済")</f>
        <v>入力済</v>
      </c>
      <c r="AV45" s="531" t="str">
        <f t="shared" ref="AV45:AV76" si="35">IF(OR(ISNUMBER(SEARCH("処遇改善加算Ⅰ",O45)),ISNUMBER(SEARCH("処遇改善加算Ⅱ",O45))),"対象","")</f>
        <v/>
      </c>
      <c r="AW45" s="531" t="str">
        <f t="shared" si="15"/>
        <v/>
      </c>
      <c r="AX45" s="548" t="str">
        <f t="shared" ref="AX45:AX76" si="36">IF(AND(AW45=1, OR(AI45=0,AI45=""),AO45="加算対象"),"AH列に色付け","")</f>
        <v/>
      </c>
      <c r="AY45" s="531" t="str">
        <f>IFERROR(VLOOKUP(K45,【参考】数式用!$AR$3:$AS$49, 2, FALSE), "")</f>
        <v/>
      </c>
      <c r="AZ45" s="548" t="str">
        <f t="shared" si="16"/>
        <v/>
      </c>
      <c r="BA45" s="551" t="str">
        <f t="shared" ref="BA45:BA76" si="37">IF(AND(OR(O45="処遇改善加算Ⅰイ",O45="処遇改善加算Ⅰロ"), AJ45=""), "未入力","入力済")</f>
        <v>入力済</v>
      </c>
      <c r="BB45" s="531" t="str">
        <f>IFERROR(VLOOKUP(K45,【参考】数式用!$AX$3:$AY$59, 2, FALSE), "")</f>
        <v/>
      </c>
      <c r="BC45" s="548" t="str">
        <f t="shared" si="17"/>
        <v/>
      </c>
      <c r="BD45" s="551" t="str">
        <f t="shared" ref="BD45:BD76" si="38">IF(AND(COUNTIF(AG45:AI45,"*令和８年度特例要件を*")&gt;0,AK45=""), "未入力","入力済")</f>
        <v>入力済</v>
      </c>
      <c r="BE45" s="551" t="str">
        <f t="shared" si="18"/>
        <v/>
      </c>
      <c r="BF45" s="551" t="str">
        <f t="shared" si="19"/>
        <v/>
      </c>
      <c r="BG45" s="551" t="str">
        <f t="shared" si="20"/>
        <v/>
      </c>
      <c r="BH45" s="551" t="str">
        <f t="shared" ref="BH45:BH76" si="39">IF(AND(BE45="",BG45="入力必要"),IF(AK45="","未入力","入力済"),"")</f>
        <v/>
      </c>
      <c r="BI45" s="551" t="str">
        <f t="shared" ref="BI45:BI76" si="40">G45</f>
        <v/>
      </c>
      <c r="BK45" s="27"/>
      <c r="BL45" s="587" t="str">
        <f t="shared" si="21"/>
        <v/>
      </c>
      <c r="BM45" s="587" t="str">
        <f t="shared" si="22"/>
        <v/>
      </c>
      <c r="BN45" s="587" t="str">
        <f t="shared" si="23"/>
        <v/>
      </c>
      <c r="BO45" s="588" t="str">
        <f>IF(BM45="","",ROUNDDOWN(L45*VLOOKUP(K45,【参考】数式用!$A$4:$J$42,10,FALSE)*AA45,0))</f>
        <v/>
      </c>
      <c r="BP45" s="587" t="str">
        <f t="shared" si="24"/>
        <v/>
      </c>
      <c r="BQ45" s="587" t="str">
        <f t="shared" si="25"/>
        <v/>
      </c>
      <c r="BR45" s="589" t="str">
        <f t="shared" si="26"/>
        <v/>
      </c>
      <c r="BS45" s="589" t="str">
        <f t="shared" si="27"/>
        <v/>
      </c>
      <c r="BT45" s="587" t="str">
        <f t="shared" si="28"/>
        <v/>
      </c>
      <c r="BU45" s="588" t="str">
        <f>IF(BT45="Ⅱロ有り",ROUNDDOWN(L45*VLOOKUP(K45,【参考】数式用!$A$4:$J$42,10,FALSE)*AA45,0),"")</f>
        <v/>
      </c>
      <c r="BV45" s="587" t="str">
        <f>IF(BT45="Ⅱロなし",ROUNDDOWN(L45*VLOOKUP(K45,【参考】数式用!$A$4:$J$42,8,FALSE)*AA45,0),"")</f>
        <v/>
      </c>
    </row>
    <row r="46" spans="1:74" ht="109.9" customHeight="1" thickBot="1">
      <c r="A46" s="303">
        <v>33</v>
      </c>
      <c r="B46" s="933" t="str">
        <f>IF(基本情報入力シート!B68="","",基本情報入力シート!B68)</f>
        <v/>
      </c>
      <c r="C46" s="934"/>
      <c r="D46" s="934"/>
      <c r="E46" s="934"/>
      <c r="F46" s="935"/>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49" t="str">
        <f>IF(基本情報入力シート!AF68=0, "",基本情報入力シート!AF68)</f>
        <v/>
      </c>
      <c r="M46" s="516" t="str">
        <f>IF('別紙様式2-2（個票（４、５月））'!M46="","",'別紙様式2-2（個票（４、５月））'!M46)</f>
        <v/>
      </c>
      <c r="N46" s="515" t="str">
        <f>IF('別紙様式2-2（個票（４、５月））'!N46="","",'別紙様式2-2（個票（４、５月））'!N46)</f>
        <v/>
      </c>
      <c r="O46" s="286"/>
      <c r="P46" s="546" t="str">
        <f>IFERROR(VLOOKUP(K46,【参考】数式用!$A$2:$M$57,MATCH(O46,【参考】数式用!$G$3:$M$3,0)+6,0),"")</f>
        <v/>
      </c>
      <c r="Q46" s="310" t="s">
        <v>118</v>
      </c>
      <c r="R46" s="308"/>
      <c r="S46" s="309" t="s">
        <v>183</v>
      </c>
      <c r="T46" s="308"/>
      <c r="U46" s="309" t="s">
        <v>184</v>
      </c>
      <c r="V46" s="308"/>
      <c r="W46" s="309" t="s">
        <v>183</v>
      </c>
      <c r="X46" s="308"/>
      <c r="Y46" s="309" t="s">
        <v>185</v>
      </c>
      <c r="Z46" s="309" t="s">
        <v>186</v>
      </c>
      <c r="AA46" s="309" t="str">
        <f t="shared" si="29"/>
        <v/>
      </c>
      <c r="AB46" s="305" t="s">
        <v>187</v>
      </c>
      <c r="AC46" s="306" t="str">
        <f t="shared" si="10"/>
        <v/>
      </c>
      <c r="AD46" s="507"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48" t="str">
        <f>IFERROR(VLOOKUP(K46,【参考】数式用!$A$2:$N$57,14,FALSE),"")</f>
        <v/>
      </c>
      <c r="AP46" s="548" t="str">
        <f t="shared" si="13"/>
        <v/>
      </c>
      <c r="AQ46" s="552" t="str">
        <f t="shared" si="32"/>
        <v/>
      </c>
      <c r="AR46" s="552" t="str">
        <f t="shared" si="30"/>
        <v>キャリアパス要件Ⅰ・Ⅱ_</v>
      </c>
      <c r="AS46" s="531" t="str">
        <f t="shared" si="33"/>
        <v>入力済</v>
      </c>
      <c r="AT46" s="548" t="str">
        <f t="shared" si="14"/>
        <v/>
      </c>
      <c r="AU46" s="531" t="str">
        <f t="shared" si="34"/>
        <v>入力済</v>
      </c>
      <c r="AV46" s="531" t="str">
        <f t="shared" si="35"/>
        <v/>
      </c>
      <c r="AW46" s="531" t="str">
        <f t="shared" si="15"/>
        <v/>
      </c>
      <c r="AX46" s="548" t="str">
        <f t="shared" si="36"/>
        <v/>
      </c>
      <c r="AY46" s="531" t="str">
        <f>IFERROR(VLOOKUP(K46,【参考】数式用!$AR$3:$AS$49, 2, FALSE), "")</f>
        <v/>
      </c>
      <c r="AZ46" s="548" t="str">
        <f t="shared" si="16"/>
        <v/>
      </c>
      <c r="BA46" s="551" t="str">
        <f t="shared" si="37"/>
        <v>入力済</v>
      </c>
      <c r="BB46" s="531" t="str">
        <f>IFERROR(VLOOKUP(K46,【参考】数式用!$AX$3:$AY$59, 2, FALSE), "")</f>
        <v/>
      </c>
      <c r="BC46" s="548" t="str">
        <f t="shared" si="17"/>
        <v/>
      </c>
      <c r="BD46" s="551" t="str">
        <f t="shared" si="38"/>
        <v>入力済</v>
      </c>
      <c r="BE46" s="551" t="str">
        <f t="shared" si="18"/>
        <v/>
      </c>
      <c r="BF46" s="551" t="str">
        <f t="shared" si="19"/>
        <v/>
      </c>
      <c r="BG46" s="551" t="str">
        <f t="shared" si="20"/>
        <v/>
      </c>
      <c r="BH46" s="551" t="str">
        <f t="shared" si="39"/>
        <v/>
      </c>
      <c r="BI46" s="551" t="str">
        <f t="shared" si="40"/>
        <v/>
      </c>
      <c r="BK46" s="27"/>
      <c r="BL46" s="587" t="str">
        <f t="shared" si="21"/>
        <v/>
      </c>
      <c r="BM46" s="587" t="str">
        <f t="shared" si="22"/>
        <v/>
      </c>
      <c r="BN46" s="587" t="str">
        <f t="shared" si="23"/>
        <v/>
      </c>
      <c r="BO46" s="588" t="str">
        <f>IF(BM46="","",ROUNDDOWN(L46*VLOOKUP(K46,【参考】数式用!$A$4:$J$42,10,FALSE)*AA46,0))</f>
        <v/>
      </c>
      <c r="BP46" s="587" t="str">
        <f t="shared" si="24"/>
        <v/>
      </c>
      <c r="BQ46" s="587" t="str">
        <f t="shared" si="25"/>
        <v/>
      </c>
      <c r="BR46" s="589" t="str">
        <f t="shared" si="26"/>
        <v/>
      </c>
      <c r="BS46" s="589" t="str">
        <f t="shared" si="27"/>
        <v/>
      </c>
      <c r="BT46" s="587" t="str">
        <f t="shared" si="28"/>
        <v/>
      </c>
      <c r="BU46" s="588" t="str">
        <f>IF(BT46="Ⅱロ有り",ROUNDDOWN(L46*VLOOKUP(K46,【参考】数式用!$A$4:$J$42,10,FALSE)*AA46,0),"")</f>
        <v/>
      </c>
      <c r="BV46" s="587" t="str">
        <f>IF(BT46="Ⅱロなし",ROUNDDOWN(L46*VLOOKUP(K46,【参考】数式用!$A$4:$J$42,8,FALSE)*AA46,0),"")</f>
        <v/>
      </c>
    </row>
    <row r="47" spans="1:74" ht="109.9" customHeight="1" thickBot="1">
      <c r="A47" s="303">
        <v>34</v>
      </c>
      <c r="B47" s="933" t="str">
        <f>IF(基本情報入力シート!B69="","",基本情報入力シート!B69)</f>
        <v/>
      </c>
      <c r="C47" s="934"/>
      <c r="D47" s="934"/>
      <c r="E47" s="934"/>
      <c r="F47" s="935"/>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49" t="str">
        <f>IF(基本情報入力シート!AF69=0, "",基本情報入力シート!AF69)</f>
        <v/>
      </c>
      <c r="M47" s="516" t="str">
        <f>IF('別紙様式2-2（個票（４、５月））'!M47="","",'別紙様式2-2（個票（４、５月））'!M47)</f>
        <v/>
      </c>
      <c r="N47" s="515" t="str">
        <f>IF('別紙様式2-2（個票（４、５月））'!N47="","",'別紙様式2-2（個票（４、５月））'!N47)</f>
        <v/>
      </c>
      <c r="O47" s="286"/>
      <c r="P47" s="546" t="str">
        <f>IFERROR(VLOOKUP(K47,【参考】数式用!$A$2:$M$57,MATCH(O47,【参考】数式用!$G$3:$M$3,0)+6,0),"")</f>
        <v/>
      </c>
      <c r="Q47" s="310" t="s">
        <v>118</v>
      </c>
      <c r="R47" s="308"/>
      <c r="S47" s="309" t="s">
        <v>183</v>
      </c>
      <c r="T47" s="308"/>
      <c r="U47" s="309" t="s">
        <v>184</v>
      </c>
      <c r="V47" s="308"/>
      <c r="W47" s="309" t="s">
        <v>183</v>
      </c>
      <c r="X47" s="308"/>
      <c r="Y47" s="309" t="s">
        <v>185</v>
      </c>
      <c r="Z47" s="309" t="s">
        <v>186</v>
      </c>
      <c r="AA47" s="309" t="str">
        <f t="shared" si="29"/>
        <v/>
      </c>
      <c r="AB47" s="305" t="s">
        <v>187</v>
      </c>
      <c r="AC47" s="306" t="str">
        <f t="shared" si="10"/>
        <v/>
      </c>
      <c r="AD47" s="507"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48" t="str">
        <f>IFERROR(VLOOKUP(K47,【参考】数式用!$A$2:$N$57,14,FALSE),"")</f>
        <v/>
      </c>
      <c r="AP47" s="548" t="str">
        <f t="shared" si="13"/>
        <v/>
      </c>
      <c r="AQ47" s="552" t="str">
        <f t="shared" si="32"/>
        <v/>
      </c>
      <c r="AR47" s="552" t="str">
        <f t="shared" si="30"/>
        <v>キャリアパス要件Ⅰ・Ⅱ_</v>
      </c>
      <c r="AS47" s="531" t="str">
        <f t="shared" si="33"/>
        <v>入力済</v>
      </c>
      <c r="AT47" s="548" t="str">
        <f t="shared" si="14"/>
        <v/>
      </c>
      <c r="AU47" s="531" t="str">
        <f t="shared" si="34"/>
        <v>入力済</v>
      </c>
      <c r="AV47" s="531" t="str">
        <f t="shared" si="35"/>
        <v/>
      </c>
      <c r="AW47" s="531" t="str">
        <f t="shared" si="15"/>
        <v/>
      </c>
      <c r="AX47" s="548" t="str">
        <f t="shared" si="36"/>
        <v/>
      </c>
      <c r="AY47" s="531" t="str">
        <f>IFERROR(VLOOKUP(K47,【参考】数式用!$AR$3:$AS$49, 2, FALSE), "")</f>
        <v/>
      </c>
      <c r="AZ47" s="548" t="str">
        <f t="shared" si="16"/>
        <v/>
      </c>
      <c r="BA47" s="551" t="str">
        <f t="shared" si="37"/>
        <v>入力済</v>
      </c>
      <c r="BB47" s="531" t="str">
        <f>IFERROR(VLOOKUP(K47,【参考】数式用!$AX$3:$AY$59, 2, FALSE), "")</f>
        <v/>
      </c>
      <c r="BC47" s="548" t="str">
        <f t="shared" si="17"/>
        <v/>
      </c>
      <c r="BD47" s="551" t="str">
        <f t="shared" si="38"/>
        <v>入力済</v>
      </c>
      <c r="BE47" s="551" t="str">
        <f t="shared" si="18"/>
        <v/>
      </c>
      <c r="BF47" s="551" t="str">
        <f t="shared" si="19"/>
        <v/>
      </c>
      <c r="BG47" s="551" t="str">
        <f t="shared" si="20"/>
        <v/>
      </c>
      <c r="BH47" s="551" t="str">
        <f t="shared" si="39"/>
        <v/>
      </c>
      <c r="BI47" s="551" t="str">
        <f t="shared" si="40"/>
        <v/>
      </c>
      <c r="BK47" s="27"/>
      <c r="BL47" s="587" t="str">
        <f t="shared" si="21"/>
        <v/>
      </c>
      <c r="BM47" s="587" t="str">
        <f t="shared" si="22"/>
        <v/>
      </c>
      <c r="BN47" s="587" t="str">
        <f t="shared" si="23"/>
        <v/>
      </c>
      <c r="BO47" s="588" t="str">
        <f>IF(BM47="","",ROUNDDOWN(L47*VLOOKUP(K47,【参考】数式用!$A$4:$J$42,10,FALSE)*AA47,0))</f>
        <v/>
      </c>
      <c r="BP47" s="587" t="str">
        <f t="shared" si="24"/>
        <v/>
      </c>
      <c r="BQ47" s="587" t="str">
        <f t="shared" si="25"/>
        <v/>
      </c>
      <c r="BR47" s="589" t="str">
        <f t="shared" si="26"/>
        <v/>
      </c>
      <c r="BS47" s="589" t="str">
        <f t="shared" si="27"/>
        <v/>
      </c>
      <c r="BT47" s="587" t="str">
        <f t="shared" si="28"/>
        <v/>
      </c>
      <c r="BU47" s="588" t="str">
        <f>IF(BT47="Ⅱロ有り",ROUNDDOWN(L47*VLOOKUP(K47,【参考】数式用!$A$4:$J$42,10,FALSE)*AA47,0),"")</f>
        <v/>
      </c>
      <c r="BV47" s="587" t="str">
        <f>IF(BT47="Ⅱロなし",ROUNDDOWN(L47*VLOOKUP(K47,【参考】数式用!$A$4:$J$42,8,FALSE)*AA47,0),"")</f>
        <v/>
      </c>
    </row>
    <row r="48" spans="1:74" ht="109.9" customHeight="1" thickBot="1">
      <c r="A48" s="303">
        <v>35</v>
      </c>
      <c r="B48" s="933" t="str">
        <f>IF(基本情報入力シート!B70="","",基本情報入力シート!B70)</f>
        <v/>
      </c>
      <c r="C48" s="934"/>
      <c r="D48" s="934"/>
      <c r="E48" s="934"/>
      <c r="F48" s="935"/>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49" t="str">
        <f>IF(基本情報入力シート!AF70=0, "",基本情報入力シート!AF70)</f>
        <v/>
      </c>
      <c r="M48" s="516" t="str">
        <f>IF('別紙様式2-2（個票（４、５月））'!M48="","",'別紙様式2-2（個票（４、５月））'!M48)</f>
        <v/>
      </c>
      <c r="N48" s="515" t="str">
        <f>IF('別紙様式2-2（個票（４、５月））'!N48="","",'別紙様式2-2（個票（４、５月））'!N48)</f>
        <v/>
      </c>
      <c r="O48" s="286"/>
      <c r="P48" s="546" t="str">
        <f>IFERROR(VLOOKUP(K48,【参考】数式用!$A$2:$M$57,MATCH(O48,【参考】数式用!$G$3:$M$3,0)+6,0),"")</f>
        <v/>
      </c>
      <c r="Q48" s="310" t="s">
        <v>118</v>
      </c>
      <c r="R48" s="308"/>
      <c r="S48" s="309" t="s">
        <v>183</v>
      </c>
      <c r="T48" s="308"/>
      <c r="U48" s="309" t="s">
        <v>184</v>
      </c>
      <c r="V48" s="308"/>
      <c r="W48" s="309" t="s">
        <v>183</v>
      </c>
      <c r="X48" s="308"/>
      <c r="Y48" s="309" t="s">
        <v>185</v>
      </c>
      <c r="Z48" s="309" t="s">
        <v>186</v>
      </c>
      <c r="AA48" s="309" t="str">
        <f t="shared" si="29"/>
        <v/>
      </c>
      <c r="AB48" s="305" t="s">
        <v>187</v>
      </c>
      <c r="AC48" s="306" t="str">
        <f t="shared" si="10"/>
        <v/>
      </c>
      <c r="AD48" s="507"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48" t="str">
        <f>IFERROR(VLOOKUP(K48,【参考】数式用!$A$2:$N$57,14,FALSE),"")</f>
        <v/>
      </c>
      <c r="AP48" s="548" t="str">
        <f t="shared" si="13"/>
        <v/>
      </c>
      <c r="AQ48" s="552" t="str">
        <f t="shared" si="32"/>
        <v/>
      </c>
      <c r="AR48" s="552" t="str">
        <f t="shared" si="30"/>
        <v>キャリアパス要件Ⅰ・Ⅱ_</v>
      </c>
      <c r="AS48" s="531" t="str">
        <f t="shared" si="33"/>
        <v>入力済</v>
      </c>
      <c r="AT48" s="548" t="str">
        <f t="shared" si="14"/>
        <v/>
      </c>
      <c r="AU48" s="531" t="str">
        <f t="shared" si="34"/>
        <v>入力済</v>
      </c>
      <c r="AV48" s="531" t="str">
        <f t="shared" si="35"/>
        <v/>
      </c>
      <c r="AW48" s="531" t="str">
        <f t="shared" si="15"/>
        <v/>
      </c>
      <c r="AX48" s="548" t="str">
        <f t="shared" si="36"/>
        <v/>
      </c>
      <c r="AY48" s="531" t="str">
        <f>IFERROR(VLOOKUP(K48,【参考】数式用!$AR$3:$AS$49, 2, FALSE), "")</f>
        <v/>
      </c>
      <c r="AZ48" s="548" t="str">
        <f t="shared" si="16"/>
        <v/>
      </c>
      <c r="BA48" s="551" t="str">
        <f t="shared" si="37"/>
        <v>入力済</v>
      </c>
      <c r="BB48" s="531" t="str">
        <f>IFERROR(VLOOKUP(K48,【参考】数式用!$AX$3:$AY$59, 2, FALSE), "")</f>
        <v/>
      </c>
      <c r="BC48" s="548" t="str">
        <f t="shared" si="17"/>
        <v/>
      </c>
      <c r="BD48" s="551" t="str">
        <f t="shared" si="38"/>
        <v>入力済</v>
      </c>
      <c r="BE48" s="551" t="str">
        <f t="shared" si="18"/>
        <v/>
      </c>
      <c r="BF48" s="551" t="str">
        <f t="shared" si="19"/>
        <v/>
      </c>
      <c r="BG48" s="551" t="str">
        <f t="shared" si="20"/>
        <v/>
      </c>
      <c r="BH48" s="551" t="str">
        <f t="shared" si="39"/>
        <v/>
      </c>
      <c r="BI48" s="551" t="str">
        <f t="shared" si="40"/>
        <v/>
      </c>
      <c r="BK48" s="27"/>
      <c r="BL48" s="587" t="str">
        <f t="shared" si="21"/>
        <v/>
      </c>
      <c r="BM48" s="587" t="str">
        <f t="shared" si="22"/>
        <v/>
      </c>
      <c r="BN48" s="587" t="str">
        <f t="shared" si="23"/>
        <v/>
      </c>
      <c r="BO48" s="588" t="str">
        <f>IF(BM48="","",ROUNDDOWN(L48*VLOOKUP(K48,【参考】数式用!$A$4:$J$42,10,FALSE)*AA48,0))</f>
        <v/>
      </c>
      <c r="BP48" s="587" t="str">
        <f t="shared" si="24"/>
        <v/>
      </c>
      <c r="BQ48" s="587" t="str">
        <f t="shared" si="25"/>
        <v/>
      </c>
      <c r="BR48" s="589" t="str">
        <f t="shared" si="26"/>
        <v/>
      </c>
      <c r="BS48" s="589" t="str">
        <f t="shared" si="27"/>
        <v/>
      </c>
      <c r="BT48" s="587" t="str">
        <f t="shared" si="28"/>
        <v/>
      </c>
      <c r="BU48" s="588" t="str">
        <f>IF(BT48="Ⅱロ有り",ROUNDDOWN(L48*VLOOKUP(K48,【参考】数式用!$A$4:$J$42,10,FALSE)*AA48,0),"")</f>
        <v/>
      </c>
      <c r="BV48" s="587" t="str">
        <f>IF(BT48="Ⅱロなし",ROUNDDOWN(L48*VLOOKUP(K48,【参考】数式用!$A$4:$J$42,8,FALSE)*AA48,0),"")</f>
        <v/>
      </c>
    </row>
    <row r="49" spans="1:74" ht="109.9" customHeight="1" thickBot="1">
      <c r="A49" s="303">
        <v>36</v>
      </c>
      <c r="B49" s="933" t="str">
        <f>IF(基本情報入力シート!B71="","",基本情報入力シート!B71)</f>
        <v/>
      </c>
      <c r="C49" s="934"/>
      <c r="D49" s="934"/>
      <c r="E49" s="934"/>
      <c r="F49" s="935"/>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49" t="str">
        <f>IF(基本情報入力シート!AF71=0, "",基本情報入力シート!AF71)</f>
        <v/>
      </c>
      <c r="M49" s="516" t="str">
        <f>IF('別紙様式2-2（個票（４、５月））'!M49="","",'別紙様式2-2（個票（４、５月））'!M49)</f>
        <v/>
      </c>
      <c r="N49" s="515" t="str">
        <f>IF('別紙様式2-2（個票（４、５月））'!N49="","",'別紙様式2-2（個票（４、５月））'!N49)</f>
        <v/>
      </c>
      <c r="O49" s="286"/>
      <c r="P49" s="546" t="str">
        <f>IFERROR(VLOOKUP(K49,【参考】数式用!$A$2:$M$57,MATCH(O49,【参考】数式用!$G$3:$M$3,0)+6,0),"")</f>
        <v/>
      </c>
      <c r="Q49" s="310" t="s">
        <v>118</v>
      </c>
      <c r="R49" s="308"/>
      <c r="S49" s="309" t="s">
        <v>183</v>
      </c>
      <c r="T49" s="308"/>
      <c r="U49" s="309" t="s">
        <v>184</v>
      </c>
      <c r="V49" s="308"/>
      <c r="W49" s="309" t="s">
        <v>183</v>
      </c>
      <c r="X49" s="308"/>
      <c r="Y49" s="309" t="s">
        <v>120</v>
      </c>
      <c r="Z49" s="309" t="s">
        <v>186</v>
      </c>
      <c r="AA49" s="309" t="str">
        <f t="shared" si="29"/>
        <v/>
      </c>
      <c r="AB49" s="305" t="s">
        <v>187</v>
      </c>
      <c r="AC49" s="306" t="str">
        <f t="shared" si="10"/>
        <v/>
      </c>
      <c r="AD49" s="507"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48" t="str">
        <f>IFERROR(VLOOKUP(K49,【参考】数式用!$A$2:$N$57,14,FALSE),"")</f>
        <v/>
      </c>
      <c r="AP49" s="548" t="str">
        <f t="shared" si="13"/>
        <v/>
      </c>
      <c r="AQ49" s="552" t="str">
        <f t="shared" si="32"/>
        <v/>
      </c>
      <c r="AR49" s="552" t="str">
        <f t="shared" si="30"/>
        <v>キャリアパス要件Ⅰ・Ⅱ_</v>
      </c>
      <c r="AS49" s="531" t="str">
        <f t="shared" si="33"/>
        <v>入力済</v>
      </c>
      <c r="AT49" s="548" t="str">
        <f t="shared" si="14"/>
        <v/>
      </c>
      <c r="AU49" s="531" t="str">
        <f t="shared" si="34"/>
        <v>入力済</v>
      </c>
      <c r="AV49" s="531" t="str">
        <f t="shared" si="35"/>
        <v/>
      </c>
      <c r="AW49" s="531" t="str">
        <f t="shared" si="15"/>
        <v/>
      </c>
      <c r="AX49" s="548" t="str">
        <f t="shared" si="36"/>
        <v/>
      </c>
      <c r="AY49" s="531" t="str">
        <f>IFERROR(VLOOKUP(K49,【参考】数式用!$AR$3:$AS$49, 2, FALSE), "")</f>
        <v/>
      </c>
      <c r="AZ49" s="548" t="str">
        <f t="shared" si="16"/>
        <v/>
      </c>
      <c r="BA49" s="551" t="str">
        <f t="shared" si="37"/>
        <v>入力済</v>
      </c>
      <c r="BB49" s="531" t="str">
        <f>IFERROR(VLOOKUP(K49,【参考】数式用!$AX$3:$AY$59, 2, FALSE), "")</f>
        <v/>
      </c>
      <c r="BC49" s="548" t="str">
        <f t="shared" si="17"/>
        <v/>
      </c>
      <c r="BD49" s="551" t="str">
        <f t="shared" si="38"/>
        <v>入力済</v>
      </c>
      <c r="BE49" s="551" t="str">
        <f t="shared" si="18"/>
        <v/>
      </c>
      <c r="BF49" s="551" t="str">
        <f t="shared" si="19"/>
        <v/>
      </c>
      <c r="BG49" s="551" t="str">
        <f t="shared" si="20"/>
        <v/>
      </c>
      <c r="BH49" s="551" t="str">
        <f t="shared" si="39"/>
        <v/>
      </c>
      <c r="BI49" s="551" t="str">
        <f t="shared" si="40"/>
        <v/>
      </c>
      <c r="BK49" s="27"/>
      <c r="BL49" s="587" t="str">
        <f t="shared" si="21"/>
        <v/>
      </c>
      <c r="BM49" s="587" t="str">
        <f t="shared" si="22"/>
        <v/>
      </c>
      <c r="BN49" s="587" t="str">
        <f t="shared" si="23"/>
        <v/>
      </c>
      <c r="BO49" s="588" t="str">
        <f>IF(BM49="","",ROUNDDOWN(L49*VLOOKUP(K49,【参考】数式用!$A$4:$J$42,10,FALSE)*AA49,0))</f>
        <v/>
      </c>
      <c r="BP49" s="587" t="str">
        <f t="shared" si="24"/>
        <v/>
      </c>
      <c r="BQ49" s="587" t="str">
        <f t="shared" si="25"/>
        <v/>
      </c>
      <c r="BR49" s="589" t="str">
        <f t="shared" si="26"/>
        <v/>
      </c>
      <c r="BS49" s="589" t="str">
        <f t="shared" si="27"/>
        <v/>
      </c>
      <c r="BT49" s="587" t="str">
        <f t="shared" si="28"/>
        <v/>
      </c>
      <c r="BU49" s="588" t="str">
        <f>IF(BT49="Ⅱロ有り",ROUNDDOWN(L49*VLOOKUP(K49,【参考】数式用!$A$4:$J$42,10,FALSE)*AA49,0),"")</f>
        <v/>
      </c>
      <c r="BV49" s="587" t="str">
        <f>IF(BT49="Ⅱロなし",ROUNDDOWN(L49*VLOOKUP(K49,【参考】数式用!$A$4:$J$42,8,FALSE)*AA49,0),"")</f>
        <v/>
      </c>
    </row>
    <row r="50" spans="1:74" ht="109.9" customHeight="1" thickBot="1">
      <c r="A50" s="303">
        <v>37</v>
      </c>
      <c r="B50" s="933" t="str">
        <f>IF(基本情報入力シート!B72="","",基本情報入力シート!B72)</f>
        <v/>
      </c>
      <c r="C50" s="934"/>
      <c r="D50" s="934"/>
      <c r="E50" s="934"/>
      <c r="F50" s="935"/>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49" t="str">
        <f>IF(基本情報入力シート!AF72=0, "",基本情報入力シート!AF72)</f>
        <v/>
      </c>
      <c r="M50" s="516" t="str">
        <f>IF('別紙様式2-2（個票（４、５月））'!M50="","",'別紙様式2-2（個票（４、５月））'!M50)</f>
        <v/>
      </c>
      <c r="N50" s="515" t="str">
        <f>IF('別紙様式2-2（個票（４、５月））'!N50="","",'別紙様式2-2（個票（４、５月））'!N50)</f>
        <v/>
      </c>
      <c r="O50" s="286"/>
      <c r="P50" s="546" t="str">
        <f>IFERROR(VLOOKUP(K50,【参考】数式用!$A$2:$M$57,MATCH(O50,【参考】数式用!$G$3:$M$3,0)+6,0),"")</f>
        <v/>
      </c>
      <c r="Q50" s="310" t="s">
        <v>118</v>
      </c>
      <c r="R50" s="308"/>
      <c r="S50" s="309" t="s">
        <v>183</v>
      </c>
      <c r="T50" s="308"/>
      <c r="U50" s="309" t="s">
        <v>184</v>
      </c>
      <c r="V50" s="308"/>
      <c r="W50" s="309" t="s">
        <v>183</v>
      </c>
      <c r="X50" s="308"/>
      <c r="Y50" s="309" t="s">
        <v>185</v>
      </c>
      <c r="Z50" s="309" t="s">
        <v>186</v>
      </c>
      <c r="AA50" s="309" t="str">
        <f t="shared" si="29"/>
        <v/>
      </c>
      <c r="AB50" s="305" t="s">
        <v>187</v>
      </c>
      <c r="AC50" s="306" t="str">
        <f t="shared" si="10"/>
        <v/>
      </c>
      <c r="AD50" s="507"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48" t="str">
        <f>IFERROR(VLOOKUP(K50,【参考】数式用!$A$2:$N$57,14,FALSE),"")</f>
        <v/>
      </c>
      <c r="AP50" s="548" t="str">
        <f t="shared" si="13"/>
        <v/>
      </c>
      <c r="AQ50" s="552" t="str">
        <f t="shared" si="32"/>
        <v/>
      </c>
      <c r="AR50" s="552" t="str">
        <f t="shared" si="30"/>
        <v>キャリアパス要件Ⅰ・Ⅱ_</v>
      </c>
      <c r="AS50" s="531" t="str">
        <f t="shared" si="33"/>
        <v>入力済</v>
      </c>
      <c r="AT50" s="548" t="str">
        <f t="shared" si="14"/>
        <v/>
      </c>
      <c r="AU50" s="531" t="str">
        <f t="shared" si="34"/>
        <v>入力済</v>
      </c>
      <c r="AV50" s="531" t="str">
        <f t="shared" si="35"/>
        <v/>
      </c>
      <c r="AW50" s="531" t="str">
        <f t="shared" si="15"/>
        <v/>
      </c>
      <c r="AX50" s="548" t="str">
        <f t="shared" si="36"/>
        <v/>
      </c>
      <c r="AY50" s="531" t="str">
        <f>IFERROR(VLOOKUP(K50,【参考】数式用!$AR$3:$AS$49, 2, FALSE), "")</f>
        <v/>
      </c>
      <c r="AZ50" s="548" t="str">
        <f t="shared" si="16"/>
        <v/>
      </c>
      <c r="BA50" s="551" t="str">
        <f t="shared" si="37"/>
        <v>入力済</v>
      </c>
      <c r="BB50" s="531" t="str">
        <f>IFERROR(VLOOKUP(K50,【参考】数式用!$AX$3:$AY$59, 2, FALSE), "")</f>
        <v/>
      </c>
      <c r="BC50" s="548" t="str">
        <f t="shared" si="17"/>
        <v/>
      </c>
      <c r="BD50" s="551" t="str">
        <f t="shared" si="38"/>
        <v>入力済</v>
      </c>
      <c r="BE50" s="551" t="str">
        <f t="shared" si="18"/>
        <v/>
      </c>
      <c r="BF50" s="551" t="str">
        <f t="shared" si="19"/>
        <v/>
      </c>
      <c r="BG50" s="551" t="str">
        <f t="shared" si="20"/>
        <v/>
      </c>
      <c r="BH50" s="551" t="str">
        <f t="shared" si="39"/>
        <v/>
      </c>
      <c r="BI50" s="551" t="str">
        <f t="shared" si="40"/>
        <v/>
      </c>
      <c r="BK50" s="27"/>
      <c r="BL50" s="587" t="str">
        <f t="shared" si="21"/>
        <v/>
      </c>
      <c r="BM50" s="587" t="str">
        <f t="shared" si="22"/>
        <v/>
      </c>
      <c r="BN50" s="587" t="str">
        <f t="shared" si="23"/>
        <v/>
      </c>
      <c r="BO50" s="588" t="str">
        <f>IF(BM50="","",ROUNDDOWN(L50*VLOOKUP(K50,【参考】数式用!$A$4:$J$42,10,FALSE)*AA50,0))</f>
        <v/>
      </c>
      <c r="BP50" s="587" t="str">
        <f t="shared" si="24"/>
        <v/>
      </c>
      <c r="BQ50" s="587" t="str">
        <f t="shared" si="25"/>
        <v/>
      </c>
      <c r="BR50" s="589" t="str">
        <f t="shared" si="26"/>
        <v/>
      </c>
      <c r="BS50" s="589" t="str">
        <f t="shared" si="27"/>
        <v/>
      </c>
      <c r="BT50" s="587" t="str">
        <f t="shared" si="28"/>
        <v/>
      </c>
      <c r="BU50" s="588" t="str">
        <f>IF(BT50="Ⅱロ有り",ROUNDDOWN(L50*VLOOKUP(K50,【参考】数式用!$A$4:$J$42,10,FALSE)*AA50,0),"")</f>
        <v/>
      </c>
      <c r="BV50" s="587" t="str">
        <f>IF(BT50="Ⅱロなし",ROUNDDOWN(L50*VLOOKUP(K50,【参考】数式用!$A$4:$J$42,8,FALSE)*AA50,0),"")</f>
        <v/>
      </c>
    </row>
    <row r="51" spans="1:74" ht="109.9" customHeight="1" thickBot="1">
      <c r="A51" s="303">
        <v>38</v>
      </c>
      <c r="B51" s="933" t="str">
        <f>IF(基本情報入力シート!B73="","",基本情報入力シート!B73)</f>
        <v/>
      </c>
      <c r="C51" s="934"/>
      <c r="D51" s="934"/>
      <c r="E51" s="934"/>
      <c r="F51" s="935"/>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49" t="str">
        <f>IF(基本情報入力シート!AF73=0, "",基本情報入力シート!AF73)</f>
        <v/>
      </c>
      <c r="M51" s="516" t="str">
        <f>IF('別紙様式2-2（個票（４、５月））'!M51="","",'別紙様式2-2（個票（４、５月））'!M51)</f>
        <v/>
      </c>
      <c r="N51" s="515" t="str">
        <f>IF('別紙様式2-2（個票（４、５月））'!N51="","",'別紙様式2-2（個票（４、５月））'!N51)</f>
        <v/>
      </c>
      <c r="O51" s="286"/>
      <c r="P51" s="546" t="str">
        <f>IFERROR(VLOOKUP(K51,【参考】数式用!$A$2:$M$57,MATCH(O51,【参考】数式用!$G$3:$M$3,0)+6,0),"")</f>
        <v/>
      </c>
      <c r="Q51" s="310" t="s">
        <v>118</v>
      </c>
      <c r="R51" s="308"/>
      <c r="S51" s="309" t="s">
        <v>183</v>
      </c>
      <c r="T51" s="308"/>
      <c r="U51" s="309" t="s">
        <v>184</v>
      </c>
      <c r="V51" s="308"/>
      <c r="W51" s="309" t="s">
        <v>183</v>
      </c>
      <c r="X51" s="308"/>
      <c r="Y51" s="309" t="s">
        <v>185</v>
      </c>
      <c r="Z51" s="309" t="s">
        <v>186</v>
      </c>
      <c r="AA51" s="309" t="str">
        <f t="shared" si="29"/>
        <v/>
      </c>
      <c r="AB51" s="305" t="s">
        <v>187</v>
      </c>
      <c r="AC51" s="306" t="str">
        <f t="shared" si="10"/>
        <v/>
      </c>
      <c r="AD51" s="507"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48" t="str">
        <f>IFERROR(VLOOKUP(K51,【参考】数式用!$A$2:$N$57,14,FALSE),"")</f>
        <v/>
      </c>
      <c r="AP51" s="548" t="str">
        <f t="shared" si="13"/>
        <v/>
      </c>
      <c r="AQ51" s="552" t="str">
        <f t="shared" si="32"/>
        <v/>
      </c>
      <c r="AR51" s="552" t="str">
        <f t="shared" si="30"/>
        <v>キャリアパス要件Ⅰ・Ⅱ_</v>
      </c>
      <c r="AS51" s="531" t="str">
        <f t="shared" si="33"/>
        <v>入力済</v>
      </c>
      <c r="AT51" s="548" t="str">
        <f t="shared" si="14"/>
        <v/>
      </c>
      <c r="AU51" s="531" t="str">
        <f t="shared" si="34"/>
        <v>入力済</v>
      </c>
      <c r="AV51" s="531" t="str">
        <f t="shared" si="35"/>
        <v/>
      </c>
      <c r="AW51" s="531" t="str">
        <f t="shared" si="15"/>
        <v/>
      </c>
      <c r="AX51" s="548" t="str">
        <f t="shared" si="36"/>
        <v/>
      </c>
      <c r="AY51" s="531" t="str">
        <f>IFERROR(VLOOKUP(K51,【参考】数式用!$AR$3:$AS$49, 2, FALSE), "")</f>
        <v/>
      </c>
      <c r="AZ51" s="548" t="str">
        <f t="shared" si="16"/>
        <v/>
      </c>
      <c r="BA51" s="551" t="str">
        <f t="shared" si="37"/>
        <v>入力済</v>
      </c>
      <c r="BB51" s="531" t="str">
        <f>IFERROR(VLOOKUP(K51,【参考】数式用!$AX$3:$AY$59, 2, FALSE), "")</f>
        <v/>
      </c>
      <c r="BC51" s="548" t="str">
        <f t="shared" si="17"/>
        <v/>
      </c>
      <c r="BD51" s="551" t="str">
        <f t="shared" si="38"/>
        <v>入力済</v>
      </c>
      <c r="BE51" s="551" t="str">
        <f t="shared" si="18"/>
        <v/>
      </c>
      <c r="BF51" s="551" t="str">
        <f t="shared" si="19"/>
        <v/>
      </c>
      <c r="BG51" s="551" t="str">
        <f t="shared" si="20"/>
        <v/>
      </c>
      <c r="BH51" s="551" t="str">
        <f t="shared" si="39"/>
        <v/>
      </c>
      <c r="BI51" s="551" t="str">
        <f t="shared" si="40"/>
        <v/>
      </c>
      <c r="BK51" s="27"/>
      <c r="BL51" s="587" t="str">
        <f t="shared" si="21"/>
        <v/>
      </c>
      <c r="BM51" s="587" t="str">
        <f t="shared" si="22"/>
        <v/>
      </c>
      <c r="BN51" s="587" t="str">
        <f t="shared" si="23"/>
        <v/>
      </c>
      <c r="BO51" s="588" t="str">
        <f>IF(BM51="","",ROUNDDOWN(L51*VLOOKUP(K51,【参考】数式用!$A$4:$J$42,10,FALSE)*AA51,0))</f>
        <v/>
      </c>
      <c r="BP51" s="587" t="str">
        <f t="shared" si="24"/>
        <v/>
      </c>
      <c r="BQ51" s="587" t="str">
        <f t="shared" si="25"/>
        <v/>
      </c>
      <c r="BR51" s="589" t="str">
        <f t="shared" si="26"/>
        <v/>
      </c>
      <c r="BS51" s="589" t="str">
        <f t="shared" si="27"/>
        <v/>
      </c>
      <c r="BT51" s="587" t="str">
        <f t="shared" si="28"/>
        <v/>
      </c>
      <c r="BU51" s="588" t="str">
        <f>IF(BT51="Ⅱロ有り",ROUNDDOWN(L51*VLOOKUP(K51,【参考】数式用!$A$4:$J$42,10,FALSE)*AA51,0),"")</f>
        <v/>
      </c>
      <c r="BV51" s="587" t="str">
        <f>IF(BT51="Ⅱロなし",ROUNDDOWN(L51*VLOOKUP(K51,【参考】数式用!$A$4:$J$42,8,FALSE)*AA51,0),"")</f>
        <v/>
      </c>
    </row>
    <row r="52" spans="1:74" ht="109.9" customHeight="1" thickBot="1">
      <c r="A52" s="303">
        <v>39</v>
      </c>
      <c r="B52" s="933" t="str">
        <f>IF(基本情報入力シート!B74="","",基本情報入力シート!B74)</f>
        <v/>
      </c>
      <c r="C52" s="934"/>
      <c r="D52" s="934"/>
      <c r="E52" s="934"/>
      <c r="F52" s="935"/>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49" t="str">
        <f>IF(基本情報入力シート!AF74=0, "",基本情報入力シート!AF74)</f>
        <v/>
      </c>
      <c r="M52" s="516" t="str">
        <f>IF('別紙様式2-2（個票（４、５月））'!M52="","",'別紙様式2-2（個票（４、５月））'!M52)</f>
        <v/>
      </c>
      <c r="N52" s="515" t="str">
        <f>IF('別紙様式2-2（個票（４、５月））'!N52="","",'別紙様式2-2（個票（４、５月））'!N52)</f>
        <v/>
      </c>
      <c r="O52" s="286"/>
      <c r="P52" s="546" t="str">
        <f>IFERROR(VLOOKUP(K52,【参考】数式用!$A$2:$M$57,MATCH(O52,【参考】数式用!$G$3:$M$3,0)+6,0),"")</f>
        <v/>
      </c>
      <c r="Q52" s="310" t="s">
        <v>118</v>
      </c>
      <c r="R52" s="308"/>
      <c r="S52" s="309" t="s">
        <v>183</v>
      </c>
      <c r="T52" s="308"/>
      <c r="U52" s="309" t="s">
        <v>184</v>
      </c>
      <c r="V52" s="308"/>
      <c r="W52" s="309" t="s">
        <v>183</v>
      </c>
      <c r="X52" s="308"/>
      <c r="Y52" s="309" t="s">
        <v>185</v>
      </c>
      <c r="Z52" s="309" t="s">
        <v>186</v>
      </c>
      <c r="AA52" s="309" t="str">
        <f t="shared" si="29"/>
        <v/>
      </c>
      <c r="AB52" s="305" t="s">
        <v>187</v>
      </c>
      <c r="AC52" s="306" t="str">
        <f t="shared" si="10"/>
        <v/>
      </c>
      <c r="AD52" s="507"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48" t="str">
        <f>IFERROR(VLOOKUP(K52,【参考】数式用!$A$2:$N$57,14,FALSE),"")</f>
        <v/>
      </c>
      <c r="AP52" s="548" t="str">
        <f t="shared" si="13"/>
        <v/>
      </c>
      <c r="AQ52" s="552" t="str">
        <f t="shared" si="32"/>
        <v/>
      </c>
      <c r="AR52" s="552" t="str">
        <f t="shared" si="30"/>
        <v>キャリアパス要件Ⅰ・Ⅱ_</v>
      </c>
      <c r="AS52" s="531" t="str">
        <f t="shared" si="33"/>
        <v>入力済</v>
      </c>
      <c r="AT52" s="548" t="str">
        <f t="shared" si="14"/>
        <v/>
      </c>
      <c r="AU52" s="531" t="str">
        <f t="shared" si="34"/>
        <v>入力済</v>
      </c>
      <c r="AV52" s="531" t="str">
        <f t="shared" si="35"/>
        <v/>
      </c>
      <c r="AW52" s="531" t="str">
        <f t="shared" si="15"/>
        <v/>
      </c>
      <c r="AX52" s="548" t="str">
        <f t="shared" si="36"/>
        <v/>
      </c>
      <c r="AY52" s="531" t="str">
        <f>IFERROR(VLOOKUP(K52,【参考】数式用!$AR$3:$AS$49, 2, FALSE), "")</f>
        <v/>
      </c>
      <c r="AZ52" s="548" t="str">
        <f t="shared" si="16"/>
        <v/>
      </c>
      <c r="BA52" s="551" t="str">
        <f t="shared" si="37"/>
        <v>入力済</v>
      </c>
      <c r="BB52" s="531" t="str">
        <f>IFERROR(VLOOKUP(K52,【参考】数式用!$AX$3:$AY$59, 2, FALSE), "")</f>
        <v/>
      </c>
      <c r="BC52" s="548" t="str">
        <f t="shared" si="17"/>
        <v/>
      </c>
      <c r="BD52" s="551" t="str">
        <f t="shared" si="38"/>
        <v>入力済</v>
      </c>
      <c r="BE52" s="551" t="str">
        <f t="shared" si="18"/>
        <v/>
      </c>
      <c r="BF52" s="551" t="str">
        <f t="shared" si="19"/>
        <v/>
      </c>
      <c r="BG52" s="551" t="str">
        <f t="shared" si="20"/>
        <v/>
      </c>
      <c r="BH52" s="551" t="str">
        <f t="shared" si="39"/>
        <v/>
      </c>
      <c r="BI52" s="551" t="str">
        <f t="shared" si="40"/>
        <v/>
      </c>
      <c r="BK52" s="27"/>
      <c r="BL52" s="587" t="str">
        <f t="shared" si="21"/>
        <v/>
      </c>
      <c r="BM52" s="587" t="str">
        <f t="shared" si="22"/>
        <v/>
      </c>
      <c r="BN52" s="587" t="str">
        <f t="shared" si="23"/>
        <v/>
      </c>
      <c r="BO52" s="588" t="str">
        <f>IF(BM52="","",ROUNDDOWN(L52*VLOOKUP(K52,【参考】数式用!$A$4:$J$42,10,FALSE)*AA52,0))</f>
        <v/>
      </c>
      <c r="BP52" s="587" t="str">
        <f t="shared" si="24"/>
        <v/>
      </c>
      <c r="BQ52" s="587" t="str">
        <f t="shared" si="25"/>
        <v/>
      </c>
      <c r="BR52" s="589" t="str">
        <f t="shared" si="26"/>
        <v/>
      </c>
      <c r="BS52" s="589" t="str">
        <f t="shared" si="27"/>
        <v/>
      </c>
      <c r="BT52" s="587" t="str">
        <f t="shared" si="28"/>
        <v/>
      </c>
      <c r="BU52" s="588" t="str">
        <f>IF(BT52="Ⅱロ有り",ROUNDDOWN(L52*VLOOKUP(K52,【参考】数式用!$A$4:$J$42,10,FALSE)*AA52,0),"")</f>
        <v/>
      </c>
      <c r="BV52" s="587" t="str">
        <f>IF(BT52="Ⅱロなし",ROUNDDOWN(L52*VLOOKUP(K52,【参考】数式用!$A$4:$J$42,8,FALSE)*AA52,0),"")</f>
        <v/>
      </c>
    </row>
    <row r="53" spans="1:74" ht="109.9" customHeight="1" thickBot="1">
      <c r="A53" s="303">
        <v>40</v>
      </c>
      <c r="B53" s="933" t="str">
        <f>IF(基本情報入力シート!B75="","",基本情報入力シート!B75)</f>
        <v/>
      </c>
      <c r="C53" s="934"/>
      <c r="D53" s="934"/>
      <c r="E53" s="934"/>
      <c r="F53" s="935"/>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49" t="str">
        <f>IF(基本情報入力シート!AF75=0, "",基本情報入力シート!AF75)</f>
        <v/>
      </c>
      <c r="M53" s="516" t="str">
        <f>IF('別紙様式2-2（個票（４、５月））'!M53="","",'別紙様式2-2（個票（４、５月））'!M53)</f>
        <v/>
      </c>
      <c r="N53" s="515" t="str">
        <f>IF('別紙様式2-2（個票（４、５月））'!N53="","",'別紙様式2-2（個票（４、５月））'!N53)</f>
        <v/>
      </c>
      <c r="O53" s="286"/>
      <c r="P53" s="546" t="str">
        <f>IFERROR(VLOOKUP(K53,【参考】数式用!$A$2:$M$57,MATCH(O53,【参考】数式用!$G$3:$M$3,0)+6,0),"")</f>
        <v/>
      </c>
      <c r="Q53" s="310" t="s">
        <v>118</v>
      </c>
      <c r="R53" s="308"/>
      <c r="S53" s="309" t="s">
        <v>183</v>
      </c>
      <c r="T53" s="308"/>
      <c r="U53" s="309" t="s">
        <v>184</v>
      </c>
      <c r="V53" s="308"/>
      <c r="W53" s="309" t="s">
        <v>183</v>
      </c>
      <c r="X53" s="308"/>
      <c r="Y53" s="309" t="s">
        <v>120</v>
      </c>
      <c r="Z53" s="309" t="s">
        <v>186</v>
      </c>
      <c r="AA53" s="309" t="str">
        <f t="shared" si="29"/>
        <v/>
      </c>
      <c r="AB53" s="305" t="s">
        <v>187</v>
      </c>
      <c r="AC53" s="306" t="str">
        <f t="shared" si="10"/>
        <v/>
      </c>
      <c r="AD53" s="507"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48" t="str">
        <f>IFERROR(VLOOKUP(K53,【参考】数式用!$A$2:$N$57,14,FALSE),"")</f>
        <v/>
      </c>
      <c r="AP53" s="548" t="str">
        <f t="shared" si="13"/>
        <v/>
      </c>
      <c r="AQ53" s="552" t="str">
        <f t="shared" si="32"/>
        <v/>
      </c>
      <c r="AR53" s="552" t="str">
        <f t="shared" si="30"/>
        <v>キャリアパス要件Ⅰ・Ⅱ_</v>
      </c>
      <c r="AS53" s="531" t="str">
        <f t="shared" si="33"/>
        <v>入力済</v>
      </c>
      <c r="AT53" s="548" t="str">
        <f t="shared" si="14"/>
        <v/>
      </c>
      <c r="AU53" s="531" t="str">
        <f t="shared" si="34"/>
        <v>入力済</v>
      </c>
      <c r="AV53" s="531" t="str">
        <f t="shared" si="35"/>
        <v/>
      </c>
      <c r="AW53" s="531" t="str">
        <f t="shared" si="15"/>
        <v/>
      </c>
      <c r="AX53" s="548" t="str">
        <f t="shared" si="36"/>
        <v/>
      </c>
      <c r="AY53" s="531" t="str">
        <f>IFERROR(VLOOKUP(K53,【参考】数式用!$AR$3:$AS$49, 2, FALSE), "")</f>
        <v/>
      </c>
      <c r="AZ53" s="548" t="str">
        <f t="shared" si="16"/>
        <v/>
      </c>
      <c r="BA53" s="551" t="str">
        <f t="shared" si="37"/>
        <v>入力済</v>
      </c>
      <c r="BB53" s="531" t="str">
        <f>IFERROR(VLOOKUP(K53,【参考】数式用!$AX$3:$AY$59, 2, FALSE), "")</f>
        <v/>
      </c>
      <c r="BC53" s="548" t="str">
        <f t="shared" si="17"/>
        <v/>
      </c>
      <c r="BD53" s="551" t="str">
        <f t="shared" si="38"/>
        <v>入力済</v>
      </c>
      <c r="BE53" s="551" t="str">
        <f t="shared" si="18"/>
        <v/>
      </c>
      <c r="BF53" s="551" t="str">
        <f t="shared" si="19"/>
        <v/>
      </c>
      <c r="BG53" s="551" t="str">
        <f t="shared" si="20"/>
        <v/>
      </c>
      <c r="BH53" s="551" t="str">
        <f t="shared" si="39"/>
        <v/>
      </c>
      <c r="BI53" s="551" t="str">
        <f t="shared" si="40"/>
        <v/>
      </c>
      <c r="BK53" s="27"/>
      <c r="BL53" s="587" t="str">
        <f t="shared" si="21"/>
        <v/>
      </c>
      <c r="BM53" s="587" t="str">
        <f t="shared" si="22"/>
        <v/>
      </c>
      <c r="BN53" s="587" t="str">
        <f t="shared" si="23"/>
        <v/>
      </c>
      <c r="BO53" s="588" t="str">
        <f>IF(BM53="","",ROUNDDOWN(L53*VLOOKUP(K53,【参考】数式用!$A$4:$J$42,10,FALSE)*AA53,0))</f>
        <v/>
      </c>
      <c r="BP53" s="587" t="str">
        <f t="shared" si="24"/>
        <v/>
      </c>
      <c r="BQ53" s="587" t="str">
        <f t="shared" si="25"/>
        <v/>
      </c>
      <c r="BR53" s="589" t="str">
        <f t="shared" si="26"/>
        <v/>
      </c>
      <c r="BS53" s="589" t="str">
        <f t="shared" si="27"/>
        <v/>
      </c>
      <c r="BT53" s="587" t="str">
        <f t="shared" si="28"/>
        <v/>
      </c>
      <c r="BU53" s="588" t="str">
        <f>IF(BT53="Ⅱロ有り",ROUNDDOWN(L53*VLOOKUP(K53,【参考】数式用!$A$4:$J$42,10,FALSE)*AA53,0),"")</f>
        <v/>
      </c>
      <c r="BV53" s="587" t="str">
        <f>IF(BT53="Ⅱロなし",ROUNDDOWN(L53*VLOOKUP(K53,【参考】数式用!$A$4:$J$42,8,FALSE)*AA53,0),"")</f>
        <v/>
      </c>
    </row>
    <row r="54" spans="1:74" ht="109.9" customHeight="1" thickBot="1">
      <c r="A54" s="303">
        <v>41</v>
      </c>
      <c r="B54" s="933" t="str">
        <f>IF(基本情報入力シート!B76="","",基本情報入力シート!B76)</f>
        <v/>
      </c>
      <c r="C54" s="934"/>
      <c r="D54" s="934"/>
      <c r="E54" s="934"/>
      <c r="F54" s="935"/>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49" t="str">
        <f>IF(基本情報入力シート!AF76=0, "",基本情報入力シート!AF76)</f>
        <v/>
      </c>
      <c r="M54" s="516" t="str">
        <f>IF('別紙様式2-2（個票（４、５月））'!M54="","",'別紙様式2-2（個票（４、５月））'!M54)</f>
        <v/>
      </c>
      <c r="N54" s="515" t="str">
        <f>IF('別紙様式2-2（個票（４、５月））'!N54="","",'別紙様式2-2（個票（４、５月））'!N54)</f>
        <v/>
      </c>
      <c r="O54" s="286"/>
      <c r="P54" s="546" t="str">
        <f>IFERROR(VLOOKUP(K54,【参考】数式用!$A$2:$M$57,MATCH(O54,【参考】数式用!$G$3:$M$3,0)+6,0),"")</f>
        <v/>
      </c>
      <c r="Q54" s="310" t="s">
        <v>118</v>
      </c>
      <c r="R54" s="308"/>
      <c r="S54" s="309" t="s">
        <v>183</v>
      </c>
      <c r="T54" s="308"/>
      <c r="U54" s="309" t="s">
        <v>184</v>
      </c>
      <c r="V54" s="308"/>
      <c r="W54" s="309" t="s">
        <v>183</v>
      </c>
      <c r="X54" s="308"/>
      <c r="Y54" s="309" t="s">
        <v>120</v>
      </c>
      <c r="Z54" s="309" t="s">
        <v>186</v>
      </c>
      <c r="AA54" s="309" t="str">
        <f t="shared" si="29"/>
        <v/>
      </c>
      <c r="AB54" s="305" t="s">
        <v>187</v>
      </c>
      <c r="AC54" s="306" t="str">
        <f t="shared" si="10"/>
        <v/>
      </c>
      <c r="AD54" s="507"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48" t="str">
        <f>IFERROR(VLOOKUP(K54,【参考】数式用!$A$2:$N$57,14,FALSE),"")</f>
        <v/>
      </c>
      <c r="AP54" s="548" t="str">
        <f t="shared" si="13"/>
        <v/>
      </c>
      <c r="AQ54" s="552" t="str">
        <f t="shared" si="32"/>
        <v/>
      </c>
      <c r="AR54" s="552" t="str">
        <f t="shared" si="30"/>
        <v>キャリアパス要件Ⅰ・Ⅱ_</v>
      </c>
      <c r="AS54" s="531" t="str">
        <f t="shared" si="33"/>
        <v>入力済</v>
      </c>
      <c r="AT54" s="548" t="str">
        <f t="shared" si="14"/>
        <v/>
      </c>
      <c r="AU54" s="531" t="str">
        <f t="shared" si="34"/>
        <v>入力済</v>
      </c>
      <c r="AV54" s="531" t="str">
        <f t="shared" si="35"/>
        <v/>
      </c>
      <c r="AW54" s="531" t="str">
        <f t="shared" si="15"/>
        <v/>
      </c>
      <c r="AX54" s="548" t="str">
        <f t="shared" si="36"/>
        <v/>
      </c>
      <c r="AY54" s="531" t="str">
        <f>IFERROR(VLOOKUP(K54,【参考】数式用!$AR$3:$AS$49, 2, FALSE), "")</f>
        <v/>
      </c>
      <c r="AZ54" s="548" t="str">
        <f t="shared" si="16"/>
        <v/>
      </c>
      <c r="BA54" s="551" t="str">
        <f t="shared" si="37"/>
        <v>入力済</v>
      </c>
      <c r="BB54" s="531" t="str">
        <f>IFERROR(VLOOKUP(K54,【参考】数式用!$AX$3:$AY$59, 2, FALSE), "")</f>
        <v/>
      </c>
      <c r="BC54" s="548" t="str">
        <f t="shared" si="17"/>
        <v/>
      </c>
      <c r="BD54" s="551" t="str">
        <f t="shared" si="38"/>
        <v>入力済</v>
      </c>
      <c r="BE54" s="551" t="str">
        <f t="shared" si="18"/>
        <v/>
      </c>
      <c r="BF54" s="551" t="str">
        <f t="shared" si="19"/>
        <v/>
      </c>
      <c r="BG54" s="551" t="str">
        <f t="shared" si="20"/>
        <v/>
      </c>
      <c r="BH54" s="551" t="str">
        <f t="shared" si="39"/>
        <v/>
      </c>
      <c r="BI54" s="551" t="str">
        <f t="shared" si="40"/>
        <v/>
      </c>
      <c r="BK54" s="27"/>
      <c r="BL54" s="587" t="str">
        <f t="shared" si="21"/>
        <v/>
      </c>
      <c r="BM54" s="587" t="str">
        <f t="shared" si="22"/>
        <v/>
      </c>
      <c r="BN54" s="587" t="str">
        <f t="shared" si="23"/>
        <v/>
      </c>
      <c r="BO54" s="588" t="str">
        <f>IF(BM54="","",ROUNDDOWN(L54*VLOOKUP(K54,【参考】数式用!$A$4:$J$42,10,FALSE)*AA54,0))</f>
        <v/>
      </c>
      <c r="BP54" s="587" t="str">
        <f t="shared" si="24"/>
        <v/>
      </c>
      <c r="BQ54" s="587" t="str">
        <f t="shared" si="25"/>
        <v/>
      </c>
      <c r="BR54" s="589" t="str">
        <f t="shared" si="26"/>
        <v/>
      </c>
      <c r="BS54" s="589" t="str">
        <f t="shared" si="27"/>
        <v/>
      </c>
      <c r="BT54" s="587" t="str">
        <f t="shared" si="28"/>
        <v/>
      </c>
      <c r="BU54" s="588" t="str">
        <f>IF(BT54="Ⅱロ有り",ROUNDDOWN(L54*VLOOKUP(K54,【参考】数式用!$A$4:$J$42,10,FALSE)*AA54,0),"")</f>
        <v/>
      </c>
      <c r="BV54" s="587" t="str">
        <f>IF(BT54="Ⅱロなし",ROUNDDOWN(L54*VLOOKUP(K54,【参考】数式用!$A$4:$J$42,8,FALSE)*AA54,0),"")</f>
        <v/>
      </c>
    </row>
    <row r="55" spans="1:74" ht="109.9" customHeight="1" thickBot="1">
      <c r="A55" s="303">
        <v>42</v>
      </c>
      <c r="B55" s="933" t="str">
        <f>IF(基本情報入力シート!B77="","",基本情報入力シート!B77)</f>
        <v/>
      </c>
      <c r="C55" s="934"/>
      <c r="D55" s="934"/>
      <c r="E55" s="934"/>
      <c r="F55" s="935"/>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49" t="str">
        <f>IF(基本情報入力シート!AF77=0, "",基本情報入力シート!AF77)</f>
        <v/>
      </c>
      <c r="M55" s="516" t="str">
        <f>IF('別紙様式2-2（個票（４、５月））'!M55="","",'別紙様式2-2（個票（４、５月））'!M55)</f>
        <v/>
      </c>
      <c r="N55" s="515" t="str">
        <f>IF('別紙様式2-2（個票（４、５月））'!N55="","",'別紙様式2-2（個票（４、５月））'!N55)</f>
        <v/>
      </c>
      <c r="O55" s="286"/>
      <c r="P55" s="546" t="str">
        <f>IFERROR(VLOOKUP(K55,【参考】数式用!$A$2:$M$57,MATCH(O55,【参考】数式用!$G$3:$M$3,0)+6,0),"")</f>
        <v/>
      </c>
      <c r="Q55" s="310" t="s">
        <v>118</v>
      </c>
      <c r="R55" s="308"/>
      <c r="S55" s="309" t="s">
        <v>183</v>
      </c>
      <c r="T55" s="308"/>
      <c r="U55" s="309" t="s">
        <v>184</v>
      </c>
      <c r="V55" s="308"/>
      <c r="W55" s="309" t="s">
        <v>183</v>
      </c>
      <c r="X55" s="308"/>
      <c r="Y55" s="309" t="s">
        <v>185</v>
      </c>
      <c r="Z55" s="309" t="s">
        <v>186</v>
      </c>
      <c r="AA55" s="309" t="str">
        <f t="shared" si="29"/>
        <v/>
      </c>
      <c r="AB55" s="305" t="s">
        <v>187</v>
      </c>
      <c r="AC55" s="306" t="str">
        <f t="shared" si="10"/>
        <v/>
      </c>
      <c r="AD55" s="507"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48" t="str">
        <f>IFERROR(VLOOKUP(K55,【参考】数式用!$A$2:$N$57,14,FALSE),"")</f>
        <v/>
      </c>
      <c r="AP55" s="548" t="str">
        <f t="shared" si="13"/>
        <v/>
      </c>
      <c r="AQ55" s="552" t="str">
        <f t="shared" si="32"/>
        <v/>
      </c>
      <c r="AR55" s="552" t="str">
        <f t="shared" si="30"/>
        <v>キャリアパス要件Ⅰ・Ⅱ_</v>
      </c>
      <c r="AS55" s="531" t="str">
        <f t="shared" si="33"/>
        <v>入力済</v>
      </c>
      <c r="AT55" s="548" t="str">
        <f t="shared" si="14"/>
        <v/>
      </c>
      <c r="AU55" s="531" t="str">
        <f t="shared" si="34"/>
        <v>入力済</v>
      </c>
      <c r="AV55" s="531" t="str">
        <f t="shared" si="35"/>
        <v/>
      </c>
      <c r="AW55" s="531" t="str">
        <f t="shared" si="15"/>
        <v/>
      </c>
      <c r="AX55" s="548" t="str">
        <f t="shared" si="36"/>
        <v/>
      </c>
      <c r="AY55" s="531" t="str">
        <f>IFERROR(VLOOKUP(K55,【参考】数式用!$AR$3:$AS$49, 2, FALSE), "")</f>
        <v/>
      </c>
      <c r="AZ55" s="548" t="str">
        <f t="shared" si="16"/>
        <v/>
      </c>
      <c r="BA55" s="551" t="str">
        <f t="shared" si="37"/>
        <v>入力済</v>
      </c>
      <c r="BB55" s="531" t="str">
        <f>IFERROR(VLOOKUP(K55,【参考】数式用!$AX$3:$AY$59, 2, FALSE), "")</f>
        <v/>
      </c>
      <c r="BC55" s="548" t="str">
        <f t="shared" si="17"/>
        <v/>
      </c>
      <c r="BD55" s="551" t="str">
        <f t="shared" si="38"/>
        <v>入力済</v>
      </c>
      <c r="BE55" s="551" t="str">
        <f t="shared" si="18"/>
        <v/>
      </c>
      <c r="BF55" s="551" t="str">
        <f t="shared" si="19"/>
        <v/>
      </c>
      <c r="BG55" s="551" t="str">
        <f t="shared" si="20"/>
        <v/>
      </c>
      <c r="BH55" s="551" t="str">
        <f t="shared" si="39"/>
        <v/>
      </c>
      <c r="BI55" s="551" t="str">
        <f t="shared" si="40"/>
        <v/>
      </c>
      <c r="BK55" s="27"/>
      <c r="BL55" s="587" t="str">
        <f t="shared" si="21"/>
        <v/>
      </c>
      <c r="BM55" s="587" t="str">
        <f t="shared" si="22"/>
        <v/>
      </c>
      <c r="BN55" s="587" t="str">
        <f t="shared" si="23"/>
        <v/>
      </c>
      <c r="BO55" s="588" t="str">
        <f>IF(BM55="","",ROUNDDOWN(L55*VLOOKUP(K55,【参考】数式用!$A$4:$J$42,10,FALSE)*AA55,0))</f>
        <v/>
      </c>
      <c r="BP55" s="587" t="str">
        <f t="shared" si="24"/>
        <v/>
      </c>
      <c r="BQ55" s="587" t="str">
        <f t="shared" si="25"/>
        <v/>
      </c>
      <c r="BR55" s="589" t="str">
        <f t="shared" si="26"/>
        <v/>
      </c>
      <c r="BS55" s="589" t="str">
        <f t="shared" si="27"/>
        <v/>
      </c>
      <c r="BT55" s="587" t="str">
        <f t="shared" si="28"/>
        <v/>
      </c>
      <c r="BU55" s="588" t="str">
        <f>IF(BT55="Ⅱロ有り",ROUNDDOWN(L55*VLOOKUP(K55,【参考】数式用!$A$4:$J$42,10,FALSE)*AA55,0),"")</f>
        <v/>
      </c>
      <c r="BV55" s="587" t="str">
        <f>IF(BT55="Ⅱロなし",ROUNDDOWN(L55*VLOOKUP(K55,【参考】数式用!$A$4:$J$42,8,FALSE)*AA55,0),"")</f>
        <v/>
      </c>
    </row>
    <row r="56" spans="1:74" ht="109.9" customHeight="1" thickBot="1">
      <c r="A56" s="303">
        <v>43</v>
      </c>
      <c r="B56" s="933" t="str">
        <f>IF(基本情報入力シート!B78="","",基本情報入力シート!B78)</f>
        <v/>
      </c>
      <c r="C56" s="934"/>
      <c r="D56" s="934"/>
      <c r="E56" s="934"/>
      <c r="F56" s="935"/>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49" t="str">
        <f>IF(基本情報入力シート!AF78=0, "",基本情報入力シート!AF78)</f>
        <v/>
      </c>
      <c r="M56" s="516" t="str">
        <f>IF('別紙様式2-2（個票（４、５月））'!M56="","",'別紙様式2-2（個票（４、５月））'!M56)</f>
        <v/>
      </c>
      <c r="N56" s="515" t="str">
        <f>IF('別紙様式2-2（個票（４、５月））'!N56="","",'別紙様式2-2（個票（４、５月））'!N56)</f>
        <v/>
      </c>
      <c r="O56" s="286"/>
      <c r="P56" s="546" t="str">
        <f>IFERROR(VLOOKUP(K56,【参考】数式用!$A$2:$M$57,MATCH(O56,【参考】数式用!$G$3:$M$3,0)+6,0),"")</f>
        <v/>
      </c>
      <c r="Q56" s="310" t="s">
        <v>118</v>
      </c>
      <c r="R56" s="308"/>
      <c r="S56" s="309" t="s">
        <v>183</v>
      </c>
      <c r="T56" s="308"/>
      <c r="U56" s="309" t="s">
        <v>184</v>
      </c>
      <c r="V56" s="308"/>
      <c r="W56" s="309" t="s">
        <v>183</v>
      </c>
      <c r="X56" s="308"/>
      <c r="Y56" s="309" t="s">
        <v>185</v>
      </c>
      <c r="Z56" s="309" t="s">
        <v>186</v>
      </c>
      <c r="AA56" s="309" t="str">
        <f t="shared" si="29"/>
        <v/>
      </c>
      <c r="AB56" s="305" t="s">
        <v>187</v>
      </c>
      <c r="AC56" s="306" t="str">
        <f t="shared" si="10"/>
        <v/>
      </c>
      <c r="AD56" s="507"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48" t="str">
        <f>IFERROR(VLOOKUP(K56,【参考】数式用!$A$2:$N$57,14,FALSE),"")</f>
        <v/>
      </c>
      <c r="AP56" s="548" t="str">
        <f t="shared" si="13"/>
        <v/>
      </c>
      <c r="AQ56" s="552" t="str">
        <f t="shared" si="32"/>
        <v/>
      </c>
      <c r="AR56" s="552" t="str">
        <f t="shared" si="30"/>
        <v>キャリアパス要件Ⅰ・Ⅱ_</v>
      </c>
      <c r="AS56" s="531" t="str">
        <f t="shared" si="33"/>
        <v>入力済</v>
      </c>
      <c r="AT56" s="548" t="str">
        <f t="shared" si="14"/>
        <v/>
      </c>
      <c r="AU56" s="531" t="str">
        <f t="shared" si="34"/>
        <v>入力済</v>
      </c>
      <c r="AV56" s="531" t="str">
        <f t="shared" si="35"/>
        <v/>
      </c>
      <c r="AW56" s="531" t="str">
        <f t="shared" si="15"/>
        <v/>
      </c>
      <c r="AX56" s="548" t="str">
        <f t="shared" si="36"/>
        <v/>
      </c>
      <c r="AY56" s="531" t="str">
        <f>IFERROR(VLOOKUP(K56,【参考】数式用!$AR$3:$AS$49, 2, FALSE), "")</f>
        <v/>
      </c>
      <c r="AZ56" s="548" t="str">
        <f t="shared" si="16"/>
        <v/>
      </c>
      <c r="BA56" s="551" t="str">
        <f t="shared" si="37"/>
        <v>入力済</v>
      </c>
      <c r="BB56" s="531" t="str">
        <f>IFERROR(VLOOKUP(K56,【参考】数式用!$AX$3:$AY$59, 2, FALSE), "")</f>
        <v/>
      </c>
      <c r="BC56" s="548" t="str">
        <f t="shared" si="17"/>
        <v/>
      </c>
      <c r="BD56" s="551" t="str">
        <f t="shared" si="38"/>
        <v>入力済</v>
      </c>
      <c r="BE56" s="551" t="str">
        <f t="shared" si="18"/>
        <v/>
      </c>
      <c r="BF56" s="551" t="str">
        <f t="shared" si="19"/>
        <v/>
      </c>
      <c r="BG56" s="551" t="str">
        <f t="shared" si="20"/>
        <v/>
      </c>
      <c r="BH56" s="551" t="str">
        <f t="shared" si="39"/>
        <v/>
      </c>
      <c r="BI56" s="551" t="str">
        <f t="shared" si="40"/>
        <v/>
      </c>
      <c r="BK56" s="27"/>
      <c r="BL56" s="587" t="str">
        <f t="shared" si="21"/>
        <v/>
      </c>
      <c r="BM56" s="587" t="str">
        <f t="shared" si="22"/>
        <v/>
      </c>
      <c r="BN56" s="587" t="str">
        <f t="shared" si="23"/>
        <v/>
      </c>
      <c r="BO56" s="588" t="str">
        <f>IF(BM56="","",ROUNDDOWN(L56*VLOOKUP(K56,【参考】数式用!$A$4:$J$42,10,FALSE)*AA56,0))</f>
        <v/>
      </c>
      <c r="BP56" s="587" t="str">
        <f t="shared" si="24"/>
        <v/>
      </c>
      <c r="BQ56" s="587" t="str">
        <f t="shared" si="25"/>
        <v/>
      </c>
      <c r="BR56" s="589" t="str">
        <f t="shared" si="26"/>
        <v/>
      </c>
      <c r="BS56" s="589" t="str">
        <f t="shared" si="27"/>
        <v/>
      </c>
      <c r="BT56" s="587" t="str">
        <f t="shared" si="28"/>
        <v/>
      </c>
      <c r="BU56" s="588" t="str">
        <f>IF(BT56="Ⅱロ有り",ROUNDDOWN(L56*VLOOKUP(K56,【参考】数式用!$A$4:$J$42,10,FALSE)*AA56,0),"")</f>
        <v/>
      </c>
      <c r="BV56" s="587" t="str">
        <f>IF(BT56="Ⅱロなし",ROUNDDOWN(L56*VLOOKUP(K56,【参考】数式用!$A$4:$J$42,8,FALSE)*AA56,0),"")</f>
        <v/>
      </c>
    </row>
    <row r="57" spans="1:74" ht="109.9" customHeight="1" thickBot="1">
      <c r="A57" s="303">
        <v>44</v>
      </c>
      <c r="B57" s="933" t="str">
        <f>IF(基本情報入力シート!B79="","",基本情報入力シート!B79)</f>
        <v/>
      </c>
      <c r="C57" s="934"/>
      <c r="D57" s="934"/>
      <c r="E57" s="934"/>
      <c r="F57" s="935"/>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49" t="str">
        <f>IF(基本情報入力シート!AF79=0, "",基本情報入力シート!AF79)</f>
        <v/>
      </c>
      <c r="M57" s="516" t="str">
        <f>IF('別紙様式2-2（個票（４、５月））'!M57="","",'別紙様式2-2（個票（４、５月））'!M57)</f>
        <v/>
      </c>
      <c r="N57" s="515" t="str">
        <f>IF('別紙様式2-2（個票（４、５月））'!N57="","",'別紙様式2-2（個票（４、５月））'!N57)</f>
        <v/>
      </c>
      <c r="O57" s="286"/>
      <c r="P57" s="546" t="str">
        <f>IFERROR(VLOOKUP(K57,【参考】数式用!$A$2:$M$57,MATCH(O57,【参考】数式用!$G$3:$M$3,0)+6,0),"")</f>
        <v/>
      </c>
      <c r="Q57" s="310" t="s">
        <v>118</v>
      </c>
      <c r="R57" s="308"/>
      <c r="S57" s="309" t="s">
        <v>183</v>
      </c>
      <c r="T57" s="308"/>
      <c r="U57" s="309" t="s">
        <v>184</v>
      </c>
      <c r="V57" s="308"/>
      <c r="W57" s="309" t="s">
        <v>183</v>
      </c>
      <c r="X57" s="308"/>
      <c r="Y57" s="309" t="s">
        <v>185</v>
      </c>
      <c r="Z57" s="309" t="s">
        <v>186</v>
      </c>
      <c r="AA57" s="309" t="str">
        <f t="shared" si="29"/>
        <v/>
      </c>
      <c r="AB57" s="305" t="s">
        <v>187</v>
      </c>
      <c r="AC57" s="306" t="str">
        <f t="shared" si="10"/>
        <v/>
      </c>
      <c r="AD57" s="507"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48" t="str">
        <f>IFERROR(VLOOKUP(K57,【参考】数式用!$A$2:$N$57,14,FALSE),"")</f>
        <v/>
      </c>
      <c r="AP57" s="548" t="str">
        <f t="shared" si="13"/>
        <v/>
      </c>
      <c r="AQ57" s="552" t="str">
        <f t="shared" si="32"/>
        <v/>
      </c>
      <c r="AR57" s="552" t="str">
        <f t="shared" si="30"/>
        <v>キャリアパス要件Ⅰ・Ⅱ_</v>
      </c>
      <c r="AS57" s="531" t="str">
        <f t="shared" si="33"/>
        <v>入力済</v>
      </c>
      <c r="AT57" s="548" t="str">
        <f t="shared" si="14"/>
        <v/>
      </c>
      <c r="AU57" s="531" t="str">
        <f t="shared" si="34"/>
        <v>入力済</v>
      </c>
      <c r="AV57" s="531" t="str">
        <f t="shared" si="35"/>
        <v/>
      </c>
      <c r="AW57" s="531" t="str">
        <f t="shared" si="15"/>
        <v/>
      </c>
      <c r="AX57" s="548" t="str">
        <f t="shared" si="36"/>
        <v/>
      </c>
      <c r="AY57" s="531" t="str">
        <f>IFERROR(VLOOKUP(K57,【参考】数式用!$AR$3:$AS$49, 2, FALSE), "")</f>
        <v/>
      </c>
      <c r="AZ57" s="548" t="str">
        <f t="shared" si="16"/>
        <v/>
      </c>
      <c r="BA57" s="551" t="str">
        <f t="shared" si="37"/>
        <v>入力済</v>
      </c>
      <c r="BB57" s="531" t="str">
        <f>IFERROR(VLOOKUP(K57,【参考】数式用!$AX$3:$AY$59, 2, FALSE), "")</f>
        <v/>
      </c>
      <c r="BC57" s="548" t="str">
        <f t="shared" si="17"/>
        <v/>
      </c>
      <c r="BD57" s="551" t="str">
        <f t="shared" si="38"/>
        <v>入力済</v>
      </c>
      <c r="BE57" s="551" t="str">
        <f t="shared" si="18"/>
        <v/>
      </c>
      <c r="BF57" s="551" t="str">
        <f t="shared" si="19"/>
        <v/>
      </c>
      <c r="BG57" s="551" t="str">
        <f t="shared" si="20"/>
        <v/>
      </c>
      <c r="BH57" s="551" t="str">
        <f t="shared" si="39"/>
        <v/>
      </c>
      <c r="BI57" s="551" t="str">
        <f t="shared" si="40"/>
        <v/>
      </c>
      <c r="BK57" s="27"/>
      <c r="BL57" s="587" t="str">
        <f t="shared" si="21"/>
        <v/>
      </c>
      <c r="BM57" s="587" t="str">
        <f t="shared" si="22"/>
        <v/>
      </c>
      <c r="BN57" s="587" t="str">
        <f t="shared" si="23"/>
        <v/>
      </c>
      <c r="BO57" s="588" t="str">
        <f>IF(BM57="","",ROUNDDOWN(L57*VLOOKUP(K57,【参考】数式用!$A$4:$J$42,10,FALSE)*AA57,0))</f>
        <v/>
      </c>
      <c r="BP57" s="587" t="str">
        <f t="shared" si="24"/>
        <v/>
      </c>
      <c r="BQ57" s="587" t="str">
        <f t="shared" si="25"/>
        <v/>
      </c>
      <c r="BR57" s="589" t="str">
        <f t="shared" si="26"/>
        <v/>
      </c>
      <c r="BS57" s="589" t="str">
        <f t="shared" si="27"/>
        <v/>
      </c>
      <c r="BT57" s="587" t="str">
        <f t="shared" si="28"/>
        <v/>
      </c>
      <c r="BU57" s="588" t="str">
        <f>IF(BT57="Ⅱロ有り",ROUNDDOWN(L57*VLOOKUP(K57,【参考】数式用!$A$4:$J$42,10,FALSE)*AA57,0),"")</f>
        <v/>
      </c>
      <c r="BV57" s="587" t="str">
        <f>IF(BT57="Ⅱロなし",ROUNDDOWN(L57*VLOOKUP(K57,【参考】数式用!$A$4:$J$42,8,FALSE)*AA57,0),"")</f>
        <v/>
      </c>
    </row>
    <row r="58" spans="1:74" ht="109.9" customHeight="1" thickBot="1">
      <c r="A58" s="303">
        <v>45</v>
      </c>
      <c r="B58" s="933" t="str">
        <f>IF(基本情報入力シート!B80="","",基本情報入力シート!B80)</f>
        <v/>
      </c>
      <c r="C58" s="934"/>
      <c r="D58" s="934"/>
      <c r="E58" s="934"/>
      <c r="F58" s="935"/>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49" t="str">
        <f>IF(基本情報入力シート!AF80=0, "",基本情報入力シート!AF80)</f>
        <v/>
      </c>
      <c r="M58" s="516" t="str">
        <f>IF('別紙様式2-2（個票（４、５月））'!M58="","",'別紙様式2-2（個票（４、５月））'!M58)</f>
        <v/>
      </c>
      <c r="N58" s="515" t="str">
        <f>IF('別紙様式2-2（個票（４、５月））'!N58="","",'別紙様式2-2（個票（４、５月））'!N58)</f>
        <v/>
      </c>
      <c r="O58" s="286"/>
      <c r="P58" s="546" t="str">
        <f>IFERROR(VLOOKUP(K58,【参考】数式用!$A$2:$M$57,MATCH(O58,【参考】数式用!$G$3:$M$3,0)+6,0),"")</f>
        <v/>
      </c>
      <c r="Q58" s="310" t="s">
        <v>118</v>
      </c>
      <c r="R58" s="308"/>
      <c r="S58" s="309" t="s">
        <v>183</v>
      </c>
      <c r="T58" s="308"/>
      <c r="U58" s="309" t="s">
        <v>184</v>
      </c>
      <c r="V58" s="308"/>
      <c r="W58" s="309" t="s">
        <v>183</v>
      </c>
      <c r="X58" s="308"/>
      <c r="Y58" s="309" t="s">
        <v>120</v>
      </c>
      <c r="Z58" s="309" t="s">
        <v>186</v>
      </c>
      <c r="AA58" s="309" t="str">
        <f t="shared" si="29"/>
        <v/>
      </c>
      <c r="AB58" s="305" t="s">
        <v>187</v>
      </c>
      <c r="AC58" s="306" t="str">
        <f t="shared" si="10"/>
        <v/>
      </c>
      <c r="AD58" s="507"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48" t="str">
        <f>IFERROR(VLOOKUP(K58,【参考】数式用!$A$2:$N$57,14,FALSE),"")</f>
        <v/>
      </c>
      <c r="AP58" s="548" t="str">
        <f t="shared" si="13"/>
        <v/>
      </c>
      <c r="AQ58" s="552" t="str">
        <f t="shared" si="32"/>
        <v/>
      </c>
      <c r="AR58" s="552" t="str">
        <f t="shared" si="30"/>
        <v>キャリアパス要件Ⅰ・Ⅱ_</v>
      </c>
      <c r="AS58" s="531" t="str">
        <f t="shared" si="33"/>
        <v>入力済</v>
      </c>
      <c r="AT58" s="548" t="str">
        <f t="shared" si="14"/>
        <v/>
      </c>
      <c r="AU58" s="531" t="str">
        <f t="shared" si="34"/>
        <v>入力済</v>
      </c>
      <c r="AV58" s="531" t="str">
        <f t="shared" si="35"/>
        <v/>
      </c>
      <c r="AW58" s="531" t="str">
        <f t="shared" si="15"/>
        <v/>
      </c>
      <c r="AX58" s="548" t="str">
        <f t="shared" si="36"/>
        <v/>
      </c>
      <c r="AY58" s="531" t="str">
        <f>IFERROR(VLOOKUP(K58,【参考】数式用!$AR$3:$AS$49, 2, FALSE), "")</f>
        <v/>
      </c>
      <c r="AZ58" s="548" t="str">
        <f t="shared" si="16"/>
        <v/>
      </c>
      <c r="BA58" s="551" t="str">
        <f t="shared" si="37"/>
        <v>入力済</v>
      </c>
      <c r="BB58" s="531" t="str">
        <f>IFERROR(VLOOKUP(K58,【参考】数式用!$AX$3:$AY$59, 2, FALSE), "")</f>
        <v/>
      </c>
      <c r="BC58" s="548" t="str">
        <f t="shared" si="17"/>
        <v/>
      </c>
      <c r="BD58" s="551" t="str">
        <f t="shared" si="38"/>
        <v>入力済</v>
      </c>
      <c r="BE58" s="551" t="str">
        <f t="shared" si="18"/>
        <v/>
      </c>
      <c r="BF58" s="551" t="str">
        <f t="shared" si="19"/>
        <v/>
      </c>
      <c r="BG58" s="551" t="str">
        <f t="shared" si="20"/>
        <v/>
      </c>
      <c r="BH58" s="551" t="str">
        <f t="shared" si="39"/>
        <v/>
      </c>
      <c r="BI58" s="551" t="str">
        <f t="shared" si="40"/>
        <v/>
      </c>
      <c r="BK58" s="27"/>
      <c r="BL58" s="587" t="str">
        <f t="shared" si="21"/>
        <v/>
      </c>
      <c r="BM58" s="587" t="str">
        <f t="shared" si="22"/>
        <v/>
      </c>
      <c r="BN58" s="587" t="str">
        <f t="shared" si="23"/>
        <v/>
      </c>
      <c r="BO58" s="588" t="str">
        <f>IF(BM58="","",ROUNDDOWN(L58*VLOOKUP(K58,【参考】数式用!$A$4:$J$42,10,FALSE)*AA58,0))</f>
        <v/>
      </c>
      <c r="BP58" s="587" t="str">
        <f t="shared" si="24"/>
        <v/>
      </c>
      <c r="BQ58" s="587" t="str">
        <f t="shared" si="25"/>
        <v/>
      </c>
      <c r="BR58" s="589" t="str">
        <f t="shared" si="26"/>
        <v/>
      </c>
      <c r="BS58" s="589" t="str">
        <f t="shared" si="27"/>
        <v/>
      </c>
      <c r="BT58" s="587" t="str">
        <f t="shared" si="28"/>
        <v/>
      </c>
      <c r="BU58" s="588" t="str">
        <f>IF(BT58="Ⅱロ有り",ROUNDDOWN(L58*VLOOKUP(K58,【参考】数式用!$A$4:$J$42,10,FALSE)*AA58,0),"")</f>
        <v/>
      </c>
      <c r="BV58" s="587" t="str">
        <f>IF(BT58="Ⅱロなし",ROUNDDOWN(L58*VLOOKUP(K58,【参考】数式用!$A$4:$J$42,8,FALSE)*AA58,0),"")</f>
        <v/>
      </c>
    </row>
    <row r="59" spans="1:74" ht="109.9" customHeight="1" thickBot="1">
      <c r="A59" s="303">
        <v>46</v>
      </c>
      <c r="B59" s="933" t="str">
        <f>IF(基本情報入力シート!B81="","",基本情報入力シート!B81)</f>
        <v/>
      </c>
      <c r="C59" s="934"/>
      <c r="D59" s="934"/>
      <c r="E59" s="934"/>
      <c r="F59" s="935"/>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49" t="str">
        <f>IF(基本情報入力シート!AF81=0, "",基本情報入力シート!AF81)</f>
        <v/>
      </c>
      <c r="M59" s="516" t="str">
        <f>IF('別紙様式2-2（個票（４、５月））'!M59="","",'別紙様式2-2（個票（４、５月））'!M59)</f>
        <v/>
      </c>
      <c r="N59" s="515" t="str">
        <f>IF('別紙様式2-2（個票（４、５月））'!N59="","",'別紙様式2-2（個票（４、５月））'!N59)</f>
        <v/>
      </c>
      <c r="O59" s="286"/>
      <c r="P59" s="546" t="str">
        <f>IFERROR(VLOOKUP(K59,【参考】数式用!$A$2:$M$57,MATCH(O59,【参考】数式用!$G$3:$M$3,0)+6,0),"")</f>
        <v/>
      </c>
      <c r="Q59" s="310" t="s">
        <v>118</v>
      </c>
      <c r="R59" s="308"/>
      <c r="S59" s="309" t="s">
        <v>183</v>
      </c>
      <c r="T59" s="308"/>
      <c r="U59" s="309" t="s">
        <v>184</v>
      </c>
      <c r="V59" s="308"/>
      <c r="W59" s="309" t="s">
        <v>183</v>
      </c>
      <c r="X59" s="308"/>
      <c r="Y59" s="309" t="s">
        <v>185</v>
      </c>
      <c r="Z59" s="309" t="s">
        <v>186</v>
      </c>
      <c r="AA59" s="309" t="str">
        <f t="shared" si="29"/>
        <v/>
      </c>
      <c r="AB59" s="305" t="s">
        <v>187</v>
      </c>
      <c r="AC59" s="306" t="str">
        <f t="shared" si="10"/>
        <v/>
      </c>
      <c r="AD59" s="507"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48" t="str">
        <f>IFERROR(VLOOKUP(K59,【参考】数式用!$A$2:$N$57,14,FALSE),"")</f>
        <v/>
      </c>
      <c r="AP59" s="548" t="str">
        <f t="shared" si="13"/>
        <v/>
      </c>
      <c r="AQ59" s="552" t="str">
        <f t="shared" si="32"/>
        <v/>
      </c>
      <c r="AR59" s="552" t="str">
        <f t="shared" si="30"/>
        <v>キャリアパス要件Ⅰ・Ⅱ_</v>
      </c>
      <c r="AS59" s="531" t="str">
        <f t="shared" si="33"/>
        <v>入力済</v>
      </c>
      <c r="AT59" s="548" t="str">
        <f t="shared" si="14"/>
        <v/>
      </c>
      <c r="AU59" s="531" t="str">
        <f t="shared" si="34"/>
        <v>入力済</v>
      </c>
      <c r="AV59" s="531" t="str">
        <f t="shared" si="35"/>
        <v/>
      </c>
      <c r="AW59" s="531" t="str">
        <f t="shared" si="15"/>
        <v/>
      </c>
      <c r="AX59" s="548" t="str">
        <f t="shared" si="36"/>
        <v/>
      </c>
      <c r="AY59" s="531" t="str">
        <f>IFERROR(VLOOKUP(K59,【参考】数式用!$AR$3:$AS$49, 2, FALSE), "")</f>
        <v/>
      </c>
      <c r="AZ59" s="548" t="str">
        <f t="shared" si="16"/>
        <v/>
      </c>
      <c r="BA59" s="551" t="str">
        <f t="shared" si="37"/>
        <v>入力済</v>
      </c>
      <c r="BB59" s="531" t="str">
        <f>IFERROR(VLOOKUP(K59,【参考】数式用!$AX$3:$AY$59, 2, FALSE), "")</f>
        <v/>
      </c>
      <c r="BC59" s="548" t="str">
        <f t="shared" si="17"/>
        <v/>
      </c>
      <c r="BD59" s="551" t="str">
        <f t="shared" si="38"/>
        <v>入力済</v>
      </c>
      <c r="BE59" s="551" t="str">
        <f t="shared" si="18"/>
        <v/>
      </c>
      <c r="BF59" s="551" t="str">
        <f t="shared" si="19"/>
        <v/>
      </c>
      <c r="BG59" s="551" t="str">
        <f t="shared" si="20"/>
        <v/>
      </c>
      <c r="BH59" s="551" t="str">
        <f t="shared" si="39"/>
        <v/>
      </c>
      <c r="BI59" s="551" t="str">
        <f t="shared" si="40"/>
        <v/>
      </c>
      <c r="BK59" s="27"/>
      <c r="BL59" s="587" t="str">
        <f t="shared" si="21"/>
        <v/>
      </c>
      <c r="BM59" s="587" t="str">
        <f t="shared" si="22"/>
        <v/>
      </c>
      <c r="BN59" s="587" t="str">
        <f t="shared" si="23"/>
        <v/>
      </c>
      <c r="BO59" s="588" t="str">
        <f>IF(BM59="","",ROUNDDOWN(L59*VLOOKUP(K59,【参考】数式用!$A$4:$J$42,10,FALSE)*AA59,0))</f>
        <v/>
      </c>
      <c r="BP59" s="587" t="str">
        <f t="shared" si="24"/>
        <v/>
      </c>
      <c r="BQ59" s="587" t="str">
        <f t="shared" si="25"/>
        <v/>
      </c>
      <c r="BR59" s="589" t="str">
        <f t="shared" si="26"/>
        <v/>
      </c>
      <c r="BS59" s="589" t="str">
        <f t="shared" si="27"/>
        <v/>
      </c>
      <c r="BT59" s="587" t="str">
        <f t="shared" si="28"/>
        <v/>
      </c>
      <c r="BU59" s="588" t="str">
        <f>IF(BT59="Ⅱロ有り",ROUNDDOWN(L59*VLOOKUP(K59,【参考】数式用!$A$4:$J$42,10,FALSE)*AA59,0),"")</f>
        <v/>
      </c>
      <c r="BV59" s="587" t="str">
        <f>IF(BT59="Ⅱロなし",ROUNDDOWN(L59*VLOOKUP(K59,【参考】数式用!$A$4:$J$42,8,FALSE)*AA59,0),"")</f>
        <v/>
      </c>
    </row>
    <row r="60" spans="1:74" ht="109.9" customHeight="1" thickBot="1">
      <c r="A60" s="303">
        <v>47</v>
      </c>
      <c r="B60" s="933" t="str">
        <f>IF(基本情報入力シート!B82="","",基本情報入力シート!B82)</f>
        <v/>
      </c>
      <c r="C60" s="934"/>
      <c r="D60" s="934"/>
      <c r="E60" s="934"/>
      <c r="F60" s="935"/>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49" t="str">
        <f>IF(基本情報入力シート!AF82=0, "",基本情報入力シート!AF82)</f>
        <v/>
      </c>
      <c r="M60" s="516" t="str">
        <f>IF('別紙様式2-2（個票（４、５月））'!M60="","",'別紙様式2-2（個票（４、５月））'!M60)</f>
        <v/>
      </c>
      <c r="N60" s="515" t="str">
        <f>IF('別紙様式2-2（個票（４、５月））'!N60="","",'別紙様式2-2（個票（４、５月））'!N60)</f>
        <v/>
      </c>
      <c r="O60" s="286"/>
      <c r="P60" s="546" t="str">
        <f>IFERROR(VLOOKUP(K60,【参考】数式用!$A$2:$M$57,MATCH(O60,【参考】数式用!$G$3:$M$3,0)+6,0),"")</f>
        <v/>
      </c>
      <c r="Q60" s="310" t="s">
        <v>118</v>
      </c>
      <c r="R60" s="308"/>
      <c r="S60" s="309" t="s">
        <v>183</v>
      </c>
      <c r="T60" s="308"/>
      <c r="U60" s="309" t="s">
        <v>184</v>
      </c>
      <c r="V60" s="308"/>
      <c r="W60" s="309" t="s">
        <v>183</v>
      </c>
      <c r="X60" s="308"/>
      <c r="Y60" s="309" t="s">
        <v>185</v>
      </c>
      <c r="Z60" s="309" t="s">
        <v>186</v>
      </c>
      <c r="AA60" s="309" t="str">
        <f t="shared" si="29"/>
        <v/>
      </c>
      <c r="AB60" s="305" t="s">
        <v>187</v>
      </c>
      <c r="AC60" s="306" t="str">
        <f t="shared" si="10"/>
        <v/>
      </c>
      <c r="AD60" s="507"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48" t="str">
        <f>IFERROR(VLOOKUP(K60,【参考】数式用!$A$2:$N$57,14,FALSE),"")</f>
        <v/>
      </c>
      <c r="AP60" s="548" t="str">
        <f t="shared" si="13"/>
        <v/>
      </c>
      <c r="AQ60" s="552" t="str">
        <f t="shared" si="32"/>
        <v/>
      </c>
      <c r="AR60" s="552" t="str">
        <f t="shared" si="30"/>
        <v>キャリアパス要件Ⅰ・Ⅱ_</v>
      </c>
      <c r="AS60" s="531" t="str">
        <f t="shared" si="33"/>
        <v>入力済</v>
      </c>
      <c r="AT60" s="548" t="str">
        <f t="shared" si="14"/>
        <v/>
      </c>
      <c r="AU60" s="531" t="str">
        <f t="shared" si="34"/>
        <v>入力済</v>
      </c>
      <c r="AV60" s="531" t="str">
        <f t="shared" si="35"/>
        <v/>
      </c>
      <c r="AW60" s="531" t="str">
        <f t="shared" si="15"/>
        <v/>
      </c>
      <c r="AX60" s="548" t="str">
        <f t="shared" si="36"/>
        <v/>
      </c>
      <c r="AY60" s="531" t="str">
        <f>IFERROR(VLOOKUP(K60,【参考】数式用!$AR$3:$AS$49, 2, FALSE), "")</f>
        <v/>
      </c>
      <c r="AZ60" s="548" t="str">
        <f t="shared" si="16"/>
        <v/>
      </c>
      <c r="BA60" s="551" t="str">
        <f t="shared" si="37"/>
        <v>入力済</v>
      </c>
      <c r="BB60" s="531" t="str">
        <f>IFERROR(VLOOKUP(K60,【参考】数式用!$AX$3:$AY$59, 2, FALSE), "")</f>
        <v/>
      </c>
      <c r="BC60" s="548" t="str">
        <f t="shared" si="17"/>
        <v/>
      </c>
      <c r="BD60" s="551" t="str">
        <f t="shared" si="38"/>
        <v>入力済</v>
      </c>
      <c r="BE60" s="551" t="str">
        <f t="shared" si="18"/>
        <v/>
      </c>
      <c r="BF60" s="551" t="str">
        <f t="shared" si="19"/>
        <v/>
      </c>
      <c r="BG60" s="551" t="str">
        <f t="shared" si="20"/>
        <v/>
      </c>
      <c r="BH60" s="551" t="str">
        <f t="shared" si="39"/>
        <v/>
      </c>
      <c r="BI60" s="551" t="str">
        <f t="shared" si="40"/>
        <v/>
      </c>
      <c r="BK60" s="27"/>
      <c r="BL60" s="587" t="str">
        <f t="shared" si="21"/>
        <v/>
      </c>
      <c r="BM60" s="587" t="str">
        <f t="shared" si="22"/>
        <v/>
      </c>
      <c r="BN60" s="587" t="str">
        <f t="shared" si="23"/>
        <v/>
      </c>
      <c r="BO60" s="588" t="str">
        <f>IF(BM60="","",ROUNDDOWN(L60*VLOOKUP(K60,【参考】数式用!$A$4:$J$42,10,FALSE)*AA60,0))</f>
        <v/>
      </c>
      <c r="BP60" s="587" t="str">
        <f t="shared" si="24"/>
        <v/>
      </c>
      <c r="BQ60" s="587" t="str">
        <f t="shared" si="25"/>
        <v/>
      </c>
      <c r="BR60" s="589" t="str">
        <f t="shared" si="26"/>
        <v/>
      </c>
      <c r="BS60" s="589" t="str">
        <f t="shared" si="27"/>
        <v/>
      </c>
      <c r="BT60" s="587" t="str">
        <f t="shared" si="28"/>
        <v/>
      </c>
      <c r="BU60" s="588" t="str">
        <f>IF(BT60="Ⅱロ有り",ROUNDDOWN(L60*VLOOKUP(K60,【参考】数式用!$A$4:$J$42,10,FALSE)*AA60,0),"")</f>
        <v/>
      </c>
      <c r="BV60" s="587" t="str">
        <f>IF(BT60="Ⅱロなし",ROUNDDOWN(L60*VLOOKUP(K60,【参考】数式用!$A$4:$J$42,8,FALSE)*AA60,0),"")</f>
        <v/>
      </c>
    </row>
    <row r="61" spans="1:74" ht="109.9" customHeight="1" thickBot="1">
      <c r="A61" s="303">
        <v>48</v>
      </c>
      <c r="B61" s="933" t="str">
        <f>IF(基本情報入力シート!B83="","",基本情報入力シート!B83)</f>
        <v/>
      </c>
      <c r="C61" s="934"/>
      <c r="D61" s="934"/>
      <c r="E61" s="934"/>
      <c r="F61" s="935"/>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49" t="str">
        <f>IF(基本情報入力シート!AF83=0, "",基本情報入力シート!AF83)</f>
        <v/>
      </c>
      <c r="M61" s="516" t="str">
        <f>IF('別紙様式2-2（個票（４、５月））'!M61="","",'別紙様式2-2（個票（４、５月））'!M61)</f>
        <v/>
      </c>
      <c r="N61" s="515" t="str">
        <f>IF('別紙様式2-2（個票（４、５月））'!N61="","",'別紙様式2-2（個票（４、５月））'!N61)</f>
        <v/>
      </c>
      <c r="O61" s="286"/>
      <c r="P61" s="546" t="str">
        <f>IFERROR(VLOOKUP(K61,【参考】数式用!$A$2:$M$57,MATCH(O61,【参考】数式用!$G$3:$M$3,0)+6,0),"")</f>
        <v/>
      </c>
      <c r="Q61" s="310" t="s">
        <v>118</v>
      </c>
      <c r="R61" s="308"/>
      <c r="S61" s="309" t="s">
        <v>183</v>
      </c>
      <c r="T61" s="308"/>
      <c r="U61" s="309" t="s">
        <v>184</v>
      </c>
      <c r="V61" s="308"/>
      <c r="W61" s="309" t="s">
        <v>183</v>
      </c>
      <c r="X61" s="308"/>
      <c r="Y61" s="309" t="s">
        <v>185</v>
      </c>
      <c r="Z61" s="309" t="s">
        <v>186</v>
      </c>
      <c r="AA61" s="309" t="str">
        <f t="shared" si="29"/>
        <v/>
      </c>
      <c r="AB61" s="305" t="s">
        <v>187</v>
      </c>
      <c r="AC61" s="306" t="str">
        <f t="shared" si="10"/>
        <v/>
      </c>
      <c r="AD61" s="507"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48" t="str">
        <f>IFERROR(VLOOKUP(K61,【参考】数式用!$A$2:$N$57,14,FALSE),"")</f>
        <v/>
      </c>
      <c r="AP61" s="548" t="str">
        <f t="shared" si="13"/>
        <v/>
      </c>
      <c r="AQ61" s="552" t="str">
        <f t="shared" si="32"/>
        <v/>
      </c>
      <c r="AR61" s="552" t="str">
        <f t="shared" si="30"/>
        <v>キャリアパス要件Ⅰ・Ⅱ_</v>
      </c>
      <c r="AS61" s="531" t="str">
        <f t="shared" si="33"/>
        <v>入力済</v>
      </c>
      <c r="AT61" s="548" t="str">
        <f t="shared" si="14"/>
        <v/>
      </c>
      <c r="AU61" s="531" t="str">
        <f t="shared" si="34"/>
        <v>入力済</v>
      </c>
      <c r="AV61" s="531" t="str">
        <f t="shared" si="35"/>
        <v/>
      </c>
      <c r="AW61" s="531" t="str">
        <f t="shared" si="15"/>
        <v/>
      </c>
      <c r="AX61" s="548" t="str">
        <f t="shared" si="36"/>
        <v/>
      </c>
      <c r="AY61" s="531" t="str">
        <f>IFERROR(VLOOKUP(K61,【参考】数式用!$AR$3:$AS$49, 2, FALSE), "")</f>
        <v/>
      </c>
      <c r="AZ61" s="548" t="str">
        <f t="shared" si="16"/>
        <v/>
      </c>
      <c r="BA61" s="551" t="str">
        <f t="shared" si="37"/>
        <v>入力済</v>
      </c>
      <c r="BB61" s="531" t="str">
        <f>IFERROR(VLOOKUP(K61,【参考】数式用!$AX$3:$AY$59, 2, FALSE), "")</f>
        <v/>
      </c>
      <c r="BC61" s="548" t="str">
        <f t="shared" si="17"/>
        <v/>
      </c>
      <c r="BD61" s="551" t="str">
        <f t="shared" si="38"/>
        <v>入力済</v>
      </c>
      <c r="BE61" s="551" t="str">
        <f t="shared" si="18"/>
        <v/>
      </c>
      <c r="BF61" s="551" t="str">
        <f t="shared" si="19"/>
        <v/>
      </c>
      <c r="BG61" s="551" t="str">
        <f t="shared" si="20"/>
        <v/>
      </c>
      <c r="BH61" s="551" t="str">
        <f t="shared" si="39"/>
        <v/>
      </c>
      <c r="BI61" s="551" t="str">
        <f t="shared" si="40"/>
        <v/>
      </c>
      <c r="BK61" s="27"/>
      <c r="BL61" s="587" t="str">
        <f t="shared" si="21"/>
        <v/>
      </c>
      <c r="BM61" s="587" t="str">
        <f t="shared" si="22"/>
        <v/>
      </c>
      <c r="BN61" s="587" t="str">
        <f t="shared" si="23"/>
        <v/>
      </c>
      <c r="BO61" s="588" t="str">
        <f>IF(BM61="","",ROUNDDOWN(L61*VLOOKUP(K61,【参考】数式用!$A$4:$J$42,10,FALSE)*AA61,0))</f>
        <v/>
      </c>
      <c r="BP61" s="587" t="str">
        <f t="shared" si="24"/>
        <v/>
      </c>
      <c r="BQ61" s="587" t="str">
        <f t="shared" si="25"/>
        <v/>
      </c>
      <c r="BR61" s="589" t="str">
        <f t="shared" si="26"/>
        <v/>
      </c>
      <c r="BS61" s="589" t="str">
        <f t="shared" si="27"/>
        <v/>
      </c>
      <c r="BT61" s="587" t="str">
        <f t="shared" si="28"/>
        <v/>
      </c>
      <c r="BU61" s="588" t="str">
        <f>IF(BT61="Ⅱロ有り",ROUNDDOWN(L61*VLOOKUP(K61,【参考】数式用!$A$4:$J$42,10,FALSE)*AA61,0),"")</f>
        <v/>
      </c>
      <c r="BV61" s="587" t="str">
        <f>IF(BT61="Ⅱロなし",ROUNDDOWN(L61*VLOOKUP(K61,【参考】数式用!$A$4:$J$42,8,FALSE)*AA61,0),"")</f>
        <v/>
      </c>
    </row>
    <row r="62" spans="1:74" ht="109.9" customHeight="1" thickBot="1">
      <c r="A62" s="303">
        <v>49</v>
      </c>
      <c r="B62" s="933" t="str">
        <f>IF(基本情報入力シート!B84="","",基本情報入力シート!B84)</f>
        <v/>
      </c>
      <c r="C62" s="934"/>
      <c r="D62" s="934"/>
      <c r="E62" s="934"/>
      <c r="F62" s="935"/>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49" t="str">
        <f>IF(基本情報入力シート!AF84=0, "",基本情報入力シート!AF84)</f>
        <v/>
      </c>
      <c r="M62" s="516" t="str">
        <f>IF('別紙様式2-2（個票（４、５月））'!M62="","",'別紙様式2-2（個票（４、５月））'!M62)</f>
        <v/>
      </c>
      <c r="N62" s="515" t="str">
        <f>IF('別紙様式2-2（個票（４、５月））'!N62="","",'別紙様式2-2（個票（４、５月））'!N62)</f>
        <v/>
      </c>
      <c r="O62" s="286"/>
      <c r="P62" s="546" t="str">
        <f>IFERROR(VLOOKUP(K62,【参考】数式用!$A$2:$M$57,MATCH(O62,【参考】数式用!$G$3:$M$3,0)+6,0),"")</f>
        <v/>
      </c>
      <c r="Q62" s="310" t="s">
        <v>118</v>
      </c>
      <c r="R62" s="308"/>
      <c r="S62" s="309" t="s">
        <v>183</v>
      </c>
      <c r="T62" s="308"/>
      <c r="U62" s="309" t="s">
        <v>184</v>
      </c>
      <c r="V62" s="308"/>
      <c r="W62" s="309" t="s">
        <v>183</v>
      </c>
      <c r="X62" s="308"/>
      <c r="Y62" s="309" t="s">
        <v>120</v>
      </c>
      <c r="Z62" s="309" t="s">
        <v>186</v>
      </c>
      <c r="AA62" s="309" t="str">
        <f t="shared" si="29"/>
        <v/>
      </c>
      <c r="AB62" s="305" t="s">
        <v>187</v>
      </c>
      <c r="AC62" s="306" t="str">
        <f t="shared" si="10"/>
        <v/>
      </c>
      <c r="AD62" s="507"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48" t="str">
        <f>IFERROR(VLOOKUP(K62,【参考】数式用!$A$2:$N$57,14,FALSE),"")</f>
        <v/>
      </c>
      <c r="AP62" s="548" t="str">
        <f t="shared" si="13"/>
        <v/>
      </c>
      <c r="AQ62" s="552" t="str">
        <f t="shared" si="32"/>
        <v/>
      </c>
      <c r="AR62" s="552" t="str">
        <f t="shared" si="30"/>
        <v>キャリアパス要件Ⅰ・Ⅱ_</v>
      </c>
      <c r="AS62" s="531" t="str">
        <f t="shared" si="33"/>
        <v>入力済</v>
      </c>
      <c r="AT62" s="548" t="str">
        <f t="shared" si="14"/>
        <v/>
      </c>
      <c r="AU62" s="531" t="str">
        <f t="shared" si="34"/>
        <v>入力済</v>
      </c>
      <c r="AV62" s="531" t="str">
        <f t="shared" si="35"/>
        <v/>
      </c>
      <c r="AW62" s="531" t="str">
        <f t="shared" si="15"/>
        <v/>
      </c>
      <c r="AX62" s="548" t="str">
        <f t="shared" si="36"/>
        <v/>
      </c>
      <c r="AY62" s="531" t="str">
        <f>IFERROR(VLOOKUP(K62,【参考】数式用!$AR$3:$AS$49, 2, FALSE), "")</f>
        <v/>
      </c>
      <c r="AZ62" s="548" t="str">
        <f t="shared" si="16"/>
        <v/>
      </c>
      <c r="BA62" s="551" t="str">
        <f t="shared" si="37"/>
        <v>入力済</v>
      </c>
      <c r="BB62" s="531" t="str">
        <f>IFERROR(VLOOKUP(K62,【参考】数式用!$AX$3:$AY$59, 2, FALSE), "")</f>
        <v/>
      </c>
      <c r="BC62" s="548" t="str">
        <f t="shared" si="17"/>
        <v/>
      </c>
      <c r="BD62" s="551" t="str">
        <f t="shared" si="38"/>
        <v>入力済</v>
      </c>
      <c r="BE62" s="551" t="str">
        <f t="shared" si="18"/>
        <v/>
      </c>
      <c r="BF62" s="551" t="str">
        <f t="shared" si="19"/>
        <v/>
      </c>
      <c r="BG62" s="551" t="str">
        <f t="shared" si="20"/>
        <v/>
      </c>
      <c r="BH62" s="551" t="str">
        <f t="shared" si="39"/>
        <v/>
      </c>
      <c r="BI62" s="551" t="str">
        <f t="shared" si="40"/>
        <v/>
      </c>
      <c r="BK62" s="27"/>
      <c r="BL62" s="587" t="str">
        <f t="shared" si="21"/>
        <v/>
      </c>
      <c r="BM62" s="587" t="str">
        <f t="shared" si="22"/>
        <v/>
      </c>
      <c r="BN62" s="587" t="str">
        <f t="shared" si="23"/>
        <v/>
      </c>
      <c r="BO62" s="588" t="str">
        <f>IF(BM62="","",ROUNDDOWN(L62*VLOOKUP(K62,【参考】数式用!$A$4:$J$42,10,FALSE)*AA62,0))</f>
        <v/>
      </c>
      <c r="BP62" s="587" t="str">
        <f t="shared" si="24"/>
        <v/>
      </c>
      <c r="BQ62" s="587" t="str">
        <f t="shared" si="25"/>
        <v/>
      </c>
      <c r="BR62" s="589" t="str">
        <f t="shared" si="26"/>
        <v/>
      </c>
      <c r="BS62" s="589" t="str">
        <f t="shared" si="27"/>
        <v/>
      </c>
      <c r="BT62" s="587" t="str">
        <f t="shared" si="28"/>
        <v/>
      </c>
      <c r="BU62" s="588" t="str">
        <f>IF(BT62="Ⅱロ有り",ROUNDDOWN(L62*VLOOKUP(K62,【参考】数式用!$A$4:$J$42,10,FALSE)*AA62,0),"")</f>
        <v/>
      </c>
      <c r="BV62" s="587" t="str">
        <f>IF(BT62="Ⅱロなし",ROUNDDOWN(L62*VLOOKUP(K62,【参考】数式用!$A$4:$J$42,8,FALSE)*AA62,0),"")</f>
        <v/>
      </c>
    </row>
    <row r="63" spans="1:74" ht="109.9" customHeight="1" thickBot="1">
      <c r="A63" s="303">
        <v>50</v>
      </c>
      <c r="B63" s="933" t="str">
        <f>IF(基本情報入力シート!B85="","",基本情報入力シート!B85)</f>
        <v/>
      </c>
      <c r="C63" s="934"/>
      <c r="D63" s="934"/>
      <c r="E63" s="934"/>
      <c r="F63" s="935"/>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49" t="str">
        <f>IF(基本情報入力シート!AF85=0, "",基本情報入力シート!AF85)</f>
        <v/>
      </c>
      <c r="M63" s="516" t="str">
        <f>IF('別紙様式2-2（個票（４、５月））'!M63="","",'別紙様式2-2（個票（４、５月））'!M63)</f>
        <v/>
      </c>
      <c r="N63" s="515" t="str">
        <f>IF('別紙様式2-2（個票（４、５月））'!N63="","",'別紙様式2-2（個票（４、５月））'!N63)</f>
        <v/>
      </c>
      <c r="O63" s="286"/>
      <c r="P63" s="546" t="str">
        <f>IFERROR(VLOOKUP(K63,【参考】数式用!$A$2:$M$57,MATCH(O63,【参考】数式用!$G$3:$M$3,0)+6,0),"")</f>
        <v/>
      </c>
      <c r="Q63" s="310" t="s">
        <v>118</v>
      </c>
      <c r="R63" s="308"/>
      <c r="S63" s="309" t="s">
        <v>183</v>
      </c>
      <c r="T63" s="308"/>
      <c r="U63" s="309" t="s">
        <v>184</v>
      </c>
      <c r="V63" s="308"/>
      <c r="W63" s="309" t="s">
        <v>183</v>
      </c>
      <c r="X63" s="308"/>
      <c r="Y63" s="309" t="s">
        <v>120</v>
      </c>
      <c r="Z63" s="309" t="s">
        <v>186</v>
      </c>
      <c r="AA63" s="309" t="str">
        <f t="shared" si="29"/>
        <v/>
      </c>
      <c r="AB63" s="305" t="s">
        <v>187</v>
      </c>
      <c r="AC63" s="306" t="str">
        <f t="shared" si="10"/>
        <v/>
      </c>
      <c r="AD63" s="507"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48" t="str">
        <f>IFERROR(VLOOKUP(K63,【参考】数式用!$A$2:$N$57,14,FALSE),"")</f>
        <v/>
      </c>
      <c r="AP63" s="548" t="str">
        <f t="shared" si="13"/>
        <v/>
      </c>
      <c r="AQ63" s="552" t="str">
        <f t="shared" si="32"/>
        <v/>
      </c>
      <c r="AR63" s="552" t="str">
        <f t="shared" si="30"/>
        <v>キャリアパス要件Ⅰ・Ⅱ_</v>
      </c>
      <c r="AS63" s="531" t="str">
        <f t="shared" si="33"/>
        <v>入力済</v>
      </c>
      <c r="AT63" s="548" t="str">
        <f t="shared" si="14"/>
        <v/>
      </c>
      <c r="AU63" s="531" t="str">
        <f t="shared" si="34"/>
        <v>入力済</v>
      </c>
      <c r="AV63" s="531" t="str">
        <f t="shared" si="35"/>
        <v/>
      </c>
      <c r="AW63" s="531" t="str">
        <f t="shared" si="15"/>
        <v/>
      </c>
      <c r="AX63" s="548" t="str">
        <f t="shared" si="36"/>
        <v/>
      </c>
      <c r="AY63" s="531" t="str">
        <f>IFERROR(VLOOKUP(K63,【参考】数式用!$AR$3:$AS$49, 2, FALSE), "")</f>
        <v/>
      </c>
      <c r="AZ63" s="548" t="str">
        <f t="shared" si="16"/>
        <v/>
      </c>
      <c r="BA63" s="551" t="str">
        <f t="shared" si="37"/>
        <v>入力済</v>
      </c>
      <c r="BB63" s="531" t="str">
        <f>IFERROR(VLOOKUP(K63,【参考】数式用!$AX$3:$AY$59, 2, FALSE), "")</f>
        <v/>
      </c>
      <c r="BC63" s="548" t="str">
        <f t="shared" si="17"/>
        <v/>
      </c>
      <c r="BD63" s="551" t="str">
        <f t="shared" si="38"/>
        <v>入力済</v>
      </c>
      <c r="BE63" s="551" t="str">
        <f t="shared" si="18"/>
        <v/>
      </c>
      <c r="BF63" s="551" t="str">
        <f t="shared" si="19"/>
        <v/>
      </c>
      <c r="BG63" s="551" t="str">
        <f t="shared" si="20"/>
        <v/>
      </c>
      <c r="BH63" s="551" t="str">
        <f t="shared" si="39"/>
        <v/>
      </c>
      <c r="BI63" s="551" t="str">
        <f t="shared" si="40"/>
        <v/>
      </c>
      <c r="BK63" s="27"/>
      <c r="BL63" s="587" t="str">
        <f t="shared" si="21"/>
        <v/>
      </c>
      <c r="BM63" s="587" t="str">
        <f t="shared" si="22"/>
        <v/>
      </c>
      <c r="BN63" s="587" t="str">
        <f t="shared" si="23"/>
        <v/>
      </c>
      <c r="BO63" s="588" t="str">
        <f>IF(BM63="","",ROUNDDOWN(L63*VLOOKUP(K63,【参考】数式用!$A$4:$J$42,10,FALSE)*AA63,0))</f>
        <v/>
      </c>
      <c r="BP63" s="587" t="str">
        <f t="shared" si="24"/>
        <v/>
      </c>
      <c r="BQ63" s="587" t="str">
        <f t="shared" si="25"/>
        <v/>
      </c>
      <c r="BR63" s="589" t="str">
        <f t="shared" si="26"/>
        <v/>
      </c>
      <c r="BS63" s="589" t="str">
        <f t="shared" si="27"/>
        <v/>
      </c>
      <c r="BT63" s="587" t="str">
        <f t="shared" si="28"/>
        <v/>
      </c>
      <c r="BU63" s="588" t="str">
        <f>IF(BT63="Ⅱロ有り",ROUNDDOWN(L63*VLOOKUP(K63,【参考】数式用!$A$4:$J$42,10,FALSE)*AA63,0),"")</f>
        <v/>
      </c>
      <c r="BV63" s="587" t="str">
        <f>IF(BT63="Ⅱロなし",ROUNDDOWN(L63*VLOOKUP(K63,【参考】数式用!$A$4:$J$42,8,FALSE)*AA63,0),"")</f>
        <v/>
      </c>
    </row>
    <row r="64" spans="1:74" ht="109.9" customHeight="1" thickBot="1">
      <c r="A64" s="303">
        <v>51</v>
      </c>
      <c r="B64" s="933" t="str">
        <f>IF(基本情報入力シート!B86="","",基本情報入力シート!B86)</f>
        <v/>
      </c>
      <c r="C64" s="934"/>
      <c r="D64" s="934"/>
      <c r="E64" s="934"/>
      <c r="F64" s="935"/>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49" t="str">
        <f>IF(基本情報入力シート!AF86=0, "",基本情報入力シート!AF86)</f>
        <v/>
      </c>
      <c r="M64" s="516" t="str">
        <f>IF('別紙様式2-2（個票（４、５月））'!M64="","",'別紙様式2-2（個票（４、５月））'!M64)</f>
        <v/>
      </c>
      <c r="N64" s="515" t="str">
        <f>IF('別紙様式2-2（個票（４、５月））'!N64="","",'別紙様式2-2（個票（４、５月））'!N64)</f>
        <v/>
      </c>
      <c r="O64" s="286"/>
      <c r="P64" s="546" t="str">
        <f>IFERROR(VLOOKUP(K64,【参考】数式用!$A$2:$M$57,MATCH(O64,【参考】数式用!$G$3:$M$3,0)+6,0),"")</f>
        <v/>
      </c>
      <c r="Q64" s="310" t="s">
        <v>118</v>
      </c>
      <c r="R64" s="308"/>
      <c r="S64" s="309" t="s">
        <v>183</v>
      </c>
      <c r="T64" s="308"/>
      <c r="U64" s="309" t="s">
        <v>184</v>
      </c>
      <c r="V64" s="308"/>
      <c r="W64" s="309" t="s">
        <v>183</v>
      </c>
      <c r="X64" s="308"/>
      <c r="Y64" s="309" t="s">
        <v>185</v>
      </c>
      <c r="Z64" s="309" t="s">
        <v>186</v>
      </c>
      <c r="AA64" s="309" t="str">
        <f t="shared" si="29"/>
        <v/>
      </c>
      <c r="AB64" s="305" t="s">
        <v>187</v>
      </c>
      <c r="AC64" s="306" t="str">
        <f t="shared" si="10"/>
        <v/>
      </c>
      <c r="AD64" s="507"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48" t="str">
        <f>IFERROR(VLOOKUP(K64,【参考】数式用!$A$2:$N$57,14,FALSE),"")</f>
        <v/>
      </c>
      <c r="AP64" s="548" t="str">
        <f t="shared" si="13"/>
        <v/>
      </c>
      <c r="AQ64" s="552" t="str">
        <f t="shared" si="32"/>
        <v/>
      </c>
      <c r="AR64" s="552" t="str">
        <f t="shared" si="30"/>
        <v>キャリアパス要件Ⅰ・Ⅱ_</v>
      </c>
      <c r="AS64" s="531" t="str">
        <f t="shared" si="33"/>
        <v>入力済</v>
      </c>
      <c r="AT64" s="548" t="str">
        <f t="shared" si="14"/>
        <v/>
      </c>
      <c r="AU64" s="531" t="str">
        <f t="shared" si="34"/>
        <v>入力済</v>
      </c>
      <c r="AV64" s="531" t="str">
        <f t="shared" si="35"/>
        <v/>
      </c>
      <c r="AW64" s="531" t="str">
        <f t="shared" si="15"/>
        <v/>
      </c>
      <c r="AX64" s="548" t="str">
        <f t="shared" si="36"/>
        <v/>
      </c>
      <c r="AY64" s="531" t="str">
        <f>IFERROR(VLOOKUP(K64,【参考】数式用!$AR$3:$AS$49, 2, FALSE), "")</f>
        <v/>
      </c>
      <c r="AZ64" s="548" t="str">
        <f t="shared" si="16"/>
        <v/>
      </c>
      <c r="BA64" s="551" t="str">
        <f t="shared" si="37"/>
        <v>入力済</v>
      </c>
      <c r="BB64" s="531" t="str">
        <f>IFERROR(VLOOKUP(K64,【参考】数式用!$AX$3:$AY$59, 2, FALSE), "")</f>
        <v/>
      </c>
      <c r="BC64" s="548" t="str">
        <f t="shared" si="17"/>
        <v/>
      </c>
      <c r="BD64" s="551" t="str">
        <f t="shared" si="38"/>
        <v>入力済</v>
      </c>
      <c r="BE64" s="551" t="str">
        <f t="shared" si="18"/>
        <v/>
      </c>
      <c r="BF64" s="551" t="str">
        <f t="shared" si="19"/>
        <v/>
      </c>
      <c r="BG64" s="551" t="str">
        <f t="shared" si="20"/>
        <v/>
      </c>
      <c r="BH64" s="551" t="str">
        <f t="shared" si="39"/>
        <v/>
      </c>
      <c r="BI64" s="551" t="str">
        <f t="shared" si="40"/>
        <v/>
      </c>
      <c r="BK64" s="27"/>
      <c r="BL64" s="587" t="str">
        <f t="shared" si="21"/>
        <v/>
      </c>
      <c r="BM64" s="587" t="str">
        <f t="shared" si="22"/>
        <v/>
      </c>
      <c r="BN64" s="587" t="str">
        <f t="shared" si="23"/>
        <v/>
      </c>
      <c r="BO64" s="588" t="str">
        <f>IF(BM64="","",ROUNDDOWN(L64*VLOOKUP(K64,【参考】数式用!$A$4:$J$42,10,FALSE)*AA64,0))</f>
        <v/>
      </c>
      <c r="BP64" s="587" t="str">
        <f t="shared" si="24"/>
        <v/>
      </c>
      <c r="BQ64" s="587" t="str">
        <f t="shared" si="25"/>
        <v/>
      </c>
      <c r="BR64" s="589" t="str">
        <f t="shared" si="26"/>
        <v/>
      </c>
      <c r="BS64" s="589" t="str">
        <f t="shared" si="27"/>
        <v/>
      </c>
      <c r="BT64" s="587" t="str">
        <f t="shared" si="28"/>
        <v/>
      </c>
      <c r="BU64" s="588" t="str">
        <f>IF(BT64="Ⅱロ有り",ROUNDDOWN(L64*VLOOKUP(K64,【参考】数式用!$A$4:$J$42,10,FALSE)*AA64,0),"")</f>
        <v/>
      </c>
      <c r="BV64" s="587" t="str">
        <f>IF(BT64="Ⅱロなし",ROUNDDOWN(L64*VLOOKUP(K64,【参考】数式用!$A$4:$J$42,8,FALSE)*AA64,0),"")</f>
        <v/>
      </c>
    </row>
    <row r="65" spans="1:74" ht="109.9" customHeight="1" thickBot="1">
      <c r="A65" s="303">
        <v>52</v>
      </c>
      <c r="B65" s="933" t="str">
        <f>IF(基本情報入力シート!B87="","",基本情報入力シート!B87)</f>
        <v/>
      </c>
      <c r="C65" s="934"/>
      <c r="D65" s="934"/>
      <c r="E65" s="934"/>
      <c r="F65" s="935"/>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49" t="str">
        <f>IF(基本情報入力シート!AF87=0, "",基本情報入力シート!AF87)</f>
        <v/>
      </c>
      <c r="M65" s="516" t="str">
        <f>IF('別紙様式2-2（個票（４、５月））'!M65="","",'別紙様式2-2（個票（４、５月））'!M65)</f>
        <v/>
      </c>
      <c r="N65" s="515" t="str">
        <f>IF('別紙様式2-2（個票（４、５月））'!N65="","",'別紙様式2-2（個票（４、５月））'!N65)</f>
        <v/>
      </c>
      <c r="O65" s="286"/>
      <c r="P65" s="546" t="str">
        <f>IFERROR(VLOOKUP(K65,【参考】数式用!$A$2:$M$57,MATCH(O65,【参考】数式用!$G$3:$M$3,0)+6,0),"")</f>
        <v/>
      </c>
      <c r="Q65" s="310" t="s">
        <v>118</v>
      </c>
      <c r="R65" s="308"/>
      <c r="S65" s="309" t="s">
        <v>183</v>
      </c>
      <c r="T65" s="308"/>
      <c r="U65" s="309" t="s">
        <v>184</v>
      </c>
      <c r="V65" s="308"/>
      <c r="W65" s="309" t="s">
        <v>183</v>
      </c>
      <c r="X65" s="308"/>
      <c r="Y65" s="309" t="s">
        <v>185</v>
      </c>
      <c r="Z65" s="309" t="s">
        <v>186</v>
      </c>
      <c r="AA65" s="309" t="str">
        <f t="shared" si="29"/>
        <v/>
      </c>
      <c r="AB65" s="305" t="s">
        <v>187</v>
      </c>
      <c r="AC65" s="306" t="str">
        <f t="shared" si="10"/>
        <v/>
      </c>
      <c r="AD65" s="507"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48" t="str">
        <f>IFERROR(VLOOKUP(K65,【参考】数式用!$A$2:$N$57,14,FALSE),"")</f>
        <v/>
      </c>
      <c r="AP65" s="548" t="str">
        <f t="shared" si="13"/>
        <v/>
      </c>
      <c r="AQ65" s="552" t="str">
        <f t="shared" si="32"/>
        <v/>
      </c>
      <c r="AR65" s="552" t="str">
        <f t="shared" si="30"/>
        <v>キャリアパス要件Ⅰ・Ⅱ_</v>
      </c>
      <c r="AS65" s="531" t="str">
        <f t="shared" si="33"/>
        <v>入力済</v>
      </c>
      <c r="AT65" s="548" t="str">
        <f t="shared" si="14"/>
        <v/>
      </c>
      <c r="AU65" s="531" t="str">
        <f t="shared" si="34"/>
        <v>入力済</v>
      </c>
      <c r="AV65" s="531" t="str">
        <f t="shared" si="35"/>
        <v/>
      </c>
      <c r="AW65" s="531" t="str">
        <f t="shared" si="15"/>
        <v/>
      </c>
      <c r="AX65" s="548" t="str">
        <f t="shared" si="36"/>
        <v/>
      </c>
      <c r="AY65" s="531" t="str">
        <f>IFERROR(VLOOKUP(K65,【参考】数式用!$AR$3:$AS$49, 2, FALSE), "")</f>
        <v/>
      </c>
      <c r="AZ65" s="548" t="str">
        <f t="shared" si="16"/>
        <v/>
      </c>
      <c r="BA65" s="551" t="str">
        <f t="shared" si="37"/>
        <v>入力済</v>
      </c>
      <c r="BB65" s="531" t="str">
        <f>IFERROR(VLOOKUP(K65,【参考】数式用!$AX$3:$AY$59, 2, FALSE), "")</f>
        <v/>
      </c>
      <c r="BC65" s="548" t="str">
        <f t="shared" si="17"/>
        <v/>
      </c>
      <c r="BD65" s="551" t="str">
        <f t="shared" si="38"/>
        <v>入力済</v>
      </c>
      <c r="BE65" s="551" t="str">
        <f t="shared" si="18"/>
        <v/>
      </c>
      <c r="BF65" s="551" t="str">
        <f t="shared" si="19"/>
        <v/>
      </c>
      <c r="BG65" s="551" t="str">
        <f t="shared" si="20"/>
        <v/>
      </c>
      <c r="BH65" s="551" t="str">
        <f t="shared" si="39"/>
        <v/>
      </c>
      <c r="BI65" s="551" t="str">
        <f t="shared" si="40"/>
        <v/>
      </c>
      <c r="BK65" s="27"/>
      <c r="BL65" s="587" t="str">
        <f t="shared" si="21"/>
        <v/>
      </c>
      <c r="BM65" s="587" t="str">
        <f t="shared" si="22"/>
        <v/>
      </c>
      <c r="BN65" s="587" t="str">
        <f t="shared" si="23"/>
        <v/>
      </c>
      <c r="BO65" s="588" t="str">
        <f>IF(BM65="","",ROUNDDOWN(L65*VLOOKUP(K65,【参考】数式用!$A$4:$J$42,10,FALSE)*AA65,0))</f>
        <v/>
      </c>
      <c r="BP65" s="587" t="str">
        <f t="shared" si="24"/>
        <v/>
      </c>
      <c r="BQ65" s="587" t="str">
        <f t="shared" si="25"/>
        <v/>
      </c>
      <c r="BR65" s="589" t="str">
        <f t="shared" si="26"/>
        <v/>
      </c>
      <c r="BS65" s="589" t="str">
        <f t="shared" si="27"/>
        <v/>
      </c>
      <c r="BT65" s="587" t="str">
        <f t="shared" si="28"/>
        <v/>
      </c>
      <c r="BU65" s="588" t="str">
        <f>IF(BT65="Ⅱロ有り",ROUNDDOWN(L65*VLOOKUP(K65,【参考】数式用!$A$4:$J$42,10,FALSE)*AA65,0),"")</f>
        <v/>
      </c>
      <c r="BV65" s="587" t="str">
        <f>IF(BT65="Ⅱロなし",ROUNDDOWN(L65*VLOOKUP(K65,【参考】数式用!$A$4:$J$42,8,FALSE)*AA65,0),"")</f>
        <v/>
      </c>
    </row>
    <row r="66" spans="1:74" ht="109.9" customHeight="1" thickBot="1">
      <c r="A66" s="303">
        <v>53</v>
      </c>
      <c r="B66" s="933" t="str">
        <f>IF(基本情報入力シート!B88="","",基本情報入力シート!B88)</f>
        <v/>
      </c>
      <c r="C66" s="934"/>
      <c r="D66" s="934"/>
      <c r="E66" s="934"/>
      <c r="F66" s="935"/>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49" t="str">
        <f>IF(基本情報入力シート!AF88=0, "",基本情報入力シート!AF88)</f>
        <v/>
      </c>
      <c r="M66" s="516" t="str">
        <f>IF('別紙様式2-2（個票（４、５月））'!M66="","",'別紙様式2-2（個票（４、５月））'!M66)</f>
        <v/>
      </c>
      <c r="N66" s="515" t="str">
        <f>IF('別紙様式2-2（個票（４、５月））'!N66="","",'別紙様式2-2（個票（４、５月））'!N66)</f>
        <v/>
      </c>
      <c r="O66" s="286"/>
      <c r="P66" s="546" t="str">
        <f>IFERROR(VLOOKUP(K66,【参考】数式用!$A$2:$M$57,MATCH(O66,【参考】数式用!$G$3:$M$3,0)+6,0),"")</f>
        <v/>
      </c>
      <c r="Q66" s="310" t="s">
        <v>118</v>
      </c>
      <c r="R66" s="308"/>
      <c r="S66" s="309" t="s">
        <v>183</v>
      </c>
      <c r="T66" s="308"/>
      <c r="U66" s="309" t="s">
        <v>184</v>
      </c>
      <c r="V66" s="308"/>
      <c r="W66" s="309" t="s">
        <v>183</v>
      </c>
      <c r="X66" s="308"/>
      <c r="Y66" s="309" t="s">
        <v>185</v>
      </c>
      <c r="Z66" s="309" t="s">
        <v>186</v>
      </c>
      <c r="AA66" s="309" t="str">
        <f t="shared" si="29"/>
        <v/>
      </c>
      <c r="AB66" s="305" t="s">
        <v>187</v>
      </c>
      <c r="AC66" s="306" t="str">
        <f t="shared" si="10"/>
        <v/>
      </c>
      <c r="AD66" s="507"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48" t="str">
        <f>IFERROR(VLOOKUP(K66,【参考】数式用!$A$2:$N$57,14,FALSE),"")</f>
        <v/>
      </c>
      <c r="AP66" s="548" t="str">
        <f t="shared" si="13"/>
        <v/>
      </c>
      <c r="AQ66" s="552" t="str">
        <f t="shared" si="32"/>
        <v/>
      </c>
      <c r="AR66" s="552" t="str">
        <f t="shared" si="30"/>
        <v>キャリアパス要件Ⅰ・Ⅱ_</v>
      </c>
      <c r="AS66" s="531" t="str">
        <f t="shared" si="33"/>
        <v>入力済</v>
      </c>
      <c r="AT66" s="548" t="str">
        <f t="shared" si="14"/>
        <v/>
      </c>
      <c r="AU66" s="531" t="str">
        <f t="shared" si="34"/>
        <v>入力済</v>
      </c>
      <c r="AV66" s="531" t="str">
        <f t="shared" si="35"/>
        <v/>
      </c>
      <c r="AW66" s="531" t="str">
        <f t="shared" si="15"/>
        <v/>
      </c>
      <c r="AX66" s="548" t="str">
        <f t="shared" si="36"/>
        <v/>
      </c>
      <c r="AY66" s="531" t="str">
        <f>IFERROR(VLOOKUP(K66,【参考】数式用!$AR$3:$AS$49, 2, FALSE), "")</f>
        <v/>
      </c>
      <c r="AZ66" s="548" t="str">
        <f t="shared" si="16"/>
        <v/>
      </c>
      <c r="BA66" s="551" t="str">
        <f t="shared" si="37"/>
        <v>入力済</v>
      </c>
      <c r="BB66" s="531" t="str">
        <f>IFERROR(VLOOKUP(K66,【参考】数式用!$AX$3:$AY$59, 2, FALSE), "")</f>
        <v/>
      </c>
      <c r="BC66" s="548" t="str">
        <f t="shared" si="17"/>
        <v/>
      </c>
      <c r="BD66" s="551" t="str">
        <f t="shared" si="38"/>
        <v>入力済</v>
      </c>
      <c r="BE66" s="551" t="str">
        <f t="shared" si="18"/>
        <v/>
      </c>
      <c r="BF66" s="551" t="str">
        <f t="shared" si="19"/>
        <v/>
      </c>
      <c r="BG66" s="551" t="str">
        <f t="shared" si="20"/>
        <v/>
      </c>
      <c r="BH66" s="551" t="str">
        <f t="shared" si="39"/>
        <v/>
      </c>
      <c r="BI66" s="551" t="str">
        <f t="shared" si="40"/>
        <v/>
      </c>
      <c r="BK66" s="27"/>
      <c r="BL66" s="587" t="str">
        <f t="shared" si="21"/>
        <v/>
      </c>
      <c r="BM66" s="587" t="str">
        <f t="shared" si="22"/>
        <v/>
      </c>
      <c r="BN66" s="587" t="str">
        <f t="shared" si="23"/>
        <v/>
      </c>
      <c r="BO66" s="588" t="str">
        <f>IF(BM66="","",ROUNDDOWN(L66*VLOOKUP(K66,【参考】数式用!$A$4:$J$42,10,FALSE)*AA66,0))</f>
        <v/>
      </c>
      <c r="BP66" s="587" t="str">
        <f t="shared" si="24"/>
        <v/>
      </c>
      <c r="BQ66" s="587" t="str">
        <f t="shared" si="25"/>
        <v/>
      </c>
      <c r="BR66" s="589" t="str">
        <f t="shared" si="26"/>
        <v/>
      </c>
      <c r="BS66" s="589" t="str">
        <f t="shared" si="27"/>
        <v/>
      </c>
      <c r="BT66" s="587" t="str">
        <f t="shared" si="28"/>
        <v/>
      </c>
      <c r="BU66" s="588" t="str">
        <f>IF(BT66="Ⅱロ有り",ROUNDDOWN(L66*VLOOKUP(K66,【参考】数式用!$A$4:$J$42,10,FALSE)*AA66,0),"")</f>
        <v/>
      </c>
      <c r="BV66" s="587" t="str">
        <f>IF(BT66="Ⅱロなし",ROUNDDOWN(L66*VLOOKUP(K66,【参考】数式用!$A$4:$J$42,8,FALSE)*AA66,0),"")</f>
        <v/>
      </c>
    </row>
    <row r="67" spans="1:74" ht="109.9" customHeight="1" thickBot="1">
      <c r="A67" s="303">
        <v>54</v>
      </c>
      <c r="B67" s="933" t="str">
        <f>IF(基本情報入力シート!B89="","",基本情報入力シート!B89)</f>
        <v/>
      </c>
      <c r="C67" s="934"/>
      <c r="D67" s="934"/>
      <c r="E67" s="934"/>
      <c r="F67" s="935"/>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49" t="str">
        <f>IF(基本情報入力シート!AF89=0, "",基本情報入力シート!AF89)</f>
        <v/>
      </c>
      <c r="M67" s="516" t="str">
        <f>IF('別紙様式2-2（個票（４、５月））'!M67="","",'別紙様式2-2（個票（４、５月））'!M67)</f>
        <v/>
      </c>
      <c r="N67" s="515" t="str">
        <f>IF('別紙様式2-2（個票（４、５月））'!N67="","",'別紙様式2-2（個票（４、５月））'!N67)</f>
        <v/>
      </c>
      <c r="O67" s="286"/>
      <c r="P67" s="546" t="str">
        <f>IFERROR(VLOOKUP(K67,【参考】数式用!$A$2:$M$57,MATCH(O67,【参考】数式用!$G$3:$M$3,0)+6,0),"")</f>
        <v/>
      </c>
      <c r="Q67" s="310" t="s">
        <v>118</v>
      </c>
      <c r="R67" s="308"/>
      <c r="S67" s="309" t="s">
        <v>183</v>
      </c>
      <c r="T67" s="308"/>
      <c r="U67" s="309" t="s">
        <v>184</v>
      </c>
      <c r="V67" s="308"/>
      <c r="W67" s="309" t="s">
        <v>183</v>
      </c>
      <c r="X67" s="308"/>
      <c r="Y67" s="309" t="s">
        <v>120</v>
      </c>
      <c r="Z67" s="309" t="s">
        <v>186</v>
      </c>
      <c r="AA67" s="309" t="str">
        <f t="shared" si="29"/>
        <v/>
      </c>
      <c r="AB67" s="305" t="s">
        <v>187</v>
      </c>
      <c r="AC67" s="306" t="str">
        <f t="shared" si="10"/>
        <v/>
      </c>
      <c r="AD67" s="507"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48" t="str">
        <f>IFERROR(VLOOKUP(K67,【参考】数式用!$A$2:$N$57,14,FALSE),"")</f>
        <v/>
      </c>
      <c r="AP67" s="548" t="str">
        <f t="shared" si="13"/>
        <v/>
      </c>
      <c r="AQ67" s="552" t="str">
        <f t="shared" si="32"/>
        <v/>
      </c>
      <c r="AR67" s="552" t="str">
        <f t="shared" si="30"/>
        <v>キャリアパス要件Ⅰ・Ⅱ_</v>
      </c>
      <c r="AS67" s="531" t="str">
        <f t="shared" si="33"/>
        <v>入力済</v>
      </c>
      <c r="AT67" s="548" t="str">
        <f t="shared" si="14"/>
        <v/>
      </c>
      <c r="AU67" s="531" t="str">
        <f t="shared" si="34"/>
        <v>入力済</v>
      </c>
      <c r="AV67" s="531" t="str">
        <f t="shared" si="35"/>
        <v/>
      </c>
      <c r="AW67" s="531" t="str">
        <f t="shared" si="15"/>
        <v/>
      </c>
      <c r="AX67" s="548" t="str">
        <f t="shared" si="36"/>
        <v/>
      </c>
      <c r="AY67" s="531" t="str">
        <f>IFERROR(VLOOKUP(K67,【参考】数式用!$AR$3:$AS$49, 2, FALSE), "")</f>
        <v/>
      </c>
      <c r="AZ67" s="548" t="str">
        <f t="shared" si="16"/>
        <v/>
      </c>
      <c r="BA67" s="551" t="str">
        <f t="shared" si="37"/>
        <v>入力済</v>
      </c>
      <c r="BB67" s="531" t="str">
        <f>IFERROR(VLOOKUP(K67,【参考】数式用!$AX$3:$AY$59, 2, FALSE), "")</f>
        <v/>
      </c>
      <c r="BC67" s="548" t="str">
        <f t="shared" si="17"/>
        <v/>
      </c>
      <c r="BD67" s="551" t="str">
        <f t="shared" si="38"/>
        <v>入力済</v>
      </c>
      <c r="BE67" s="551" t="str">
        <f t="shared" si="18"/>
        <v/>
      </c>
      <c r="BF67" s="551" t="str">
        <f t="shared" si="19"/>
        <v/>
      </c>
      <c r="BG67" s="551" t="str">
        <f t="shared" si="20"/>
        <v/>
      </c>
      <c r="BH67" s="551" t="str">
        <f t="shared" si="39"/>
        <v/>
      </c>
      <c r="BI67" s="551" t="str">
        <f t="shared" si="40"/>
        <v/>
      </c>
      <c r="BK67" s="27"/>
      <c r="BL67" s="587" t="str">
        <f t="shared" si="21"/>
        <v/>
      </c>
      <c r="BM67" s="587" t="str">
        <f t="shared" si="22"/>
        <v/>
      </c>
      <c r="BN67" s="587" t="str">
        <f t="shared" si="23"/>
        <v/>
      </c>
      <c r="BO67" s="588" t="str">
        <f>IF(BM67="","",ROUNDDOWN(L67*VLOOKUP(K67,【参考】数式用!$A$4:$J$42,10,FALSE)*AA67,0))</f>
        <v/>
      </c>
      <c r="BP67" s="587" t="str">
        <f t="shared" si="24"/>
        <v/>
      </c>
      <c r="BQ67" s="587" t="str">
        <f t="shared" si="25"/>
        <v/>
      </c>
      <c r="BR67" s="589" t="str">
        <f t="shared" si="26"/>
        <v/>
      </c>
      <c r="BS67" s="589" t="str">
        <f t="shared" si="27"/>
        <v/>
      </c>
      <c r="BT67" s="587" t="str">
        <f t="shared" si="28"/>
        <v/>
      </c>
      <c r="BU67" s="588" t="str">
        <f>IF(BT67="Ⅱロ有り",ROUNDDOWN(L67*VLOOKUP(K67,【参考】数式用!$A$4:$J$42,10,FALSE)*AA67,0),"")</f>
        <v/>
      </c>
      <c r="BV67" s="587" t="str">
        <f>IF(BT67="Ⅱロなし",ROUNDDOWN(L67*VLOOKUP(K67,【参考】数式用!$A$4:$J$42,8,FALSE)*AA67,0),"")</f>
        <v/>
      </c>
    </row>
    <row r="68" spans="1:74" ht="109.9" customHeight="1" thickBot="1">
      <c r="A68" s="303">
        <v>55</v>
      </c>
      <c r="B68" s="933" t="str">
        <f>IF(基本情報入力シート!B90="","",基本情報入力シート!B90)</f>
        <v/>
      </c>
      <c r="C68" s="934"/>
      <c r="D68" s="934"/>
      <c r="E68" s="934"/>
      <c r="F68" s="935"/>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49" t="str">
        <f>IF(基本情報入力シート!AF90=0, "",基本情報入力シート!AF90)</f>
        <v/>
      </c>
      <c r="M68" s="516" t="str">
        <f>IF('別紙様式2-2（個票（４、５月））'!M68="","",'別紙様式2-2（個票（４、５月））'!M68)</f>
        <v/>
      </c>
      <c r="N68" s="515" t="str">
        <f>IF('別紙様式2-2（個票（４、５月））'!N68="","",'別紙様式2-2（個票（４、５月））'!N68)</f>
        <v/>
      </c>
      <c r="O68" s="286"/>
      <c r="P68" s="546" t="str">
        <f>IFERROR(VLOOKUP(K68,【参考】数式用!$A$2:$M$57,MATCH(O68,【参考】数式用!$G$3:$M$3,0)+6,0),"")</f>
        <v/>
      </c>
      <c r="Q68" s="310" t="s">
        <v>118</v>
      </c>
      <c r="R68" s="308"/>
      <c r="S68" s="309" t="s">
        <v>183</v>
      </c>
      <c r="T68" s="308"/>
      <c r="U68" s="309" t="s">
        <v>184</v>
      </c>
      <c r="V68" s="308"/>
      <c r="W68" s="309" t="s">
        <v>183</v>
      </c>
      <c r="X68" s="308"/>
      <c r="Y68" s="309" t="s">
        <v>185</v>
      </c>
      <c r="Z68" s="309" t="s">
        <v>186</v>
      </c>
      <c r="AA68" s="309" t="str">
        <f t="shared" si="29"/>
        <v/>
      </c>
      <c r="AB68" s="305" t="s">
        <v>187</v>
      </c>
      <c r="AC68" s="306" t="str">
        <f t="shared" si="10"/>
        <v/>
      </c>
      <c r="AD68" s="507"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48" t="str">
        <f>IFERROR(VLOOKUP(K68,【参考】数式用!$A$2:$N$57,14,FALSE),"")</f>
        <v/>
      </c>
      <c r="AP68" s="548" t="str">
        <f t="shared" si="13"/>
        <v/>
      </c>
      <c r="AQ68" s="552" t="str">
        <f t="shared" si="32"/>
        <v/>
      </c>
      <c r="AR68" s="552" t="str">
        <f t="shared" si="30"/>
        <v>キャリアパス要件Ⅰ・Ⅱ_</v>
      </c>
      <c r="AS68" s="531" t="str">
        <f t="shared" si="33"/>
        <v>入力済</v>
      </c>
      <c r="AT68" s="548" t="str">
        <f t="shared" si="14"/>
        <v/>
      </c>
      <c r="AU68" s="531" t="str">
        <f t="shared" si="34"/>
        <v>入力済</v>
      </c>
      <c r="AV68" s="531" t="str">
        <f t="shared" si="35"/>
        <v/>
      </c>
      <c r="AW68" s="531" t="str">
        <f t="shared" si="15"/>
        <v/>
      </c>
      <c r="AX68" s="548" t="str">
        <f t="shared" si="36"/>
        <v/>
      </c>
      <c r="AY68" s="531" t="str">
        <f>IFERROR(VLOOKUP(K68,【参考】数式用!$AR$3:$AS$49, 2, FALSE), "")</f>
        <v/>
      </c>
      <c r="AZ68" s="548" t="str">
        <f t="shared" si="16"/>
        <v/>
      </c>
      <c r="BA68" s="551" t="str">
        <f t="shared" si="37"/>
        <v>入力済</v>
      </c>
      <c r="BB68" s="531" t="str">
        <f>IFERROR(VLOOKUP(K68,【参考】数式用!$AX$3:$AY$59, 2, FALSE), "")</f>
        <v/>
      </c>
      <c r="BC68" s="548" t="str">
        <f t="shared" si="17"/>
        <v/>
      </c>
      <c r="BD68" s="551" t="str">
        <f t="shared" si="38"/>
        <v>入力済</v>
      </c>
      <c r="BE68" s="551" t="str">
        <f t="shared" si="18"/>
        <v/>
      </c>
      <c r="BF68" s="551" t="str">
        <f t="shared" si="19"/>
        <v/>
      </c>
      <c r="BG68" s="551" t="str">
        <f t="shared" si="20"/>
        <v/>
      </c>
      <c r="BH68" s="551" t="str">
        <f t="shared" si="39"/>
        <v/>
      </c>
      <c r="BI68" s="551" t="str">
        <f t="shared" si="40"/>
        <v/>
      </c>
      <c r="BK68" s="27"/>
      <c r="BL68" s="587" t="str">
        <f t="shared" si="21"/>
        <v/>
      </c>
      <c r="BM68" s="587" t="str">
        <f t="shared" si="22"/>
        <v/>
      </c>
      <c r="BN68" s="587" t="str">
        <f t="shared" si="23"/>
        <v/>
      </c>
      <c r="BO68" s="588" t="str">
        <f>IF(BM68="","",ROUNDDOWN(L68*VLOOKUP(K68,【参考】数式用!$A$4:$J$42,10,FALSE)*AA68,0))</f>
        <v/>
      </c>
      <c r="BP68" s="587" t="str">
        <f t="shared" si="24"/>
        <v/>
      </c>
      <c r="BQ68" s="587" t="str">
        <f t="shared" si="25"/>
        <v/>
      </c>
      <c r="BR68" s="589" t="str">
        <f t="shared" si="26"/>
        <v/>
      </c>
      <c r="BS68" s="589" t="str">
        <f t="shared" si="27"/>
        <v/>
      </c>
      <c r="BT68" s="587" t="str">
        <f t="shared" si="28"/>
        <v/>
      </c>
      <c r="BU68" s="588" t="str">
        <f>IF(BT68="Ⅱロ有り",ROUNDDOWN(L68*VLOOKUP(K68,【参考】数式用!$A$4:$J$42,10,FALSE)*AA68,0),"")</f>
        <v/>
      </c>
      <c r="BV68" s="587" t="str">
        <f>IF(BT68="Ⅱロなし",ROUNDDOWN(L68*VLOOKUP(K68,【参考】数式用!$A$4:$J$42,8,FALSE)*AA68,0),"")</f>
        <v/>
      </c>
    </row>
    <row r="69" spans="1:74" ht="109.9" customHeight="1" thickBot="1">
      <c r="A69" s="303">
        <v>56</v>
      </c>
      <c r="B69" s="933" t="str">
        <f>IF(基本情報入力シート!B91="","",基本情報入力シート!B91)</f>
        <v/>
      </c>
      <c r="C69" s="934"/>
      <c r="D69" s="934"/>
      <c r="E69" s="934"/>
      <c r="F69" s="935"/>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49" t="str">
        <f>IF(基本情報入力シート!AF91=0, "",基本情報入力シート!AF91)</f>
        <v/>
      </c>
      <c r="M69" s="516" t="str">
        <f>IF('別紙様式2-2（個票（４、５月））'!M69="","",'別紙様式2-2（個票（４、５月））'!M69)</f>
        <v/>
      </c>
      <c r="N69" s="515" t="str">
        <f>IF('別紙様式2-2（個票（４、５月））'!N69="","",'別紙様式2-2（個票（４、５月））'!N69)</f>
        <v/>
      </c>
      <c r="O69" s="286"/>
      <c r="P69" s="546" t="str">
        <f>IFERROR(VLOOKUP(K69,【参考】数式用!$A$2:$M$57,MATCH(O69,【参考】数式用!$G$3:$M$3,0)+6,0),"")</f>
        <v/>
      </c>
      <c r="Q69" s="310" t="s">
        <v>118</v>
      </c>
      <c r="R69" s="308"/>
      <c r="S69" s="309" t="s">
        <v>183</v>
      </c>
      <c r="T69" s="308"/>
      <c r="U69" s="309" t="s">
        <v>184</v>
      </c>
      <c r="V69" s="308"/>
      <c r="W69" s="309" t="s">
        <v>183</v>
      </c>
      <c r="X69" s="308"/>
      <c r="Y69" s="309" t="s">
        <v>185</v>
      </c>
      <c r="Z69" s="309" t="s">
        <v>186</v>
      </c>
      <c r="AA69" s="309" t="str">
        <f t="shared" si="29"/>
        <v/>
      </c>
      <c r="AB69" s="305" t="s">
        <v>187</v>
      </c>
      <c r="AC69" s="306" t="str">
        <f t="shared" si="10"/>
        <v/>
      </c>
      <c r="AD69" s="507"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48" t="str">
        <f>IFERROR(VLOOKUP(K69,【参考】数式用!$A$2:$N$57,14,FALSE),"")</f>
        <v/>
      </c>
      <c r="AP69" s="548" t="str">
        <f t="shared" si="13"/>
        <v/>
      </c>
      <c r="AQ69" s="552" t="str">
        <f t="shared" si="32"/>
        <v/>
      </c>
      <c r="AR69" s="552" t="str">
        <f t="shared" si="30"/>
        <v>キャリアパス要件Ⅰ・Ⅱ_</v>
      </c>
      <c r="AS69" s="531" t="str">
        <f t="shared" si="33"/>
        <v>入力済</v>
      </c>
      <c r="AT69" s="548" t="str">
        <f t="shared" si="14"/>
        <v/>
      </c>
      <c r="AU69" s="531" t="str">
        <f t="shared" si="34"/>
        <v>入力済</v>
      </c>
      <c r="AV69" s="531" t="str">
        <f t="shared" si="35"/>
        <v/>
      </c>
      <c r="AW69" s="531" t="str">
        <f t="shared" si="15"/>
        <v/>
      </c>
      <c r="AX69" s="548" t="str">
        <f t="shared" si="36"/>
        <v/>
      </c>
      <c r="AY69" s="531" t="str">
        <f>IFERROR(VLOOKUP(K69,【参考】数式用!$AR$3:$AS$49, 2, FALSE), "")</f>
        <v/>
      </c>
      <c r="AZ69" s="548" t="str">
        <f t="shared" si="16"/>
        <v/>
      </c>
      <c r="BA69" s="551" t="str">
        <f t="shared" si="37"/>
        <v>入力済</v>
      </c>
      <c r="BB69" s="531" t="str">
        <f>IFERROR(VLOOKUP(K69,【参考】数式用!$AX$3:$AY$59, 2, FALSE), "")</f>
        <v/>
      </c>
      <c r="BC69" s="548" t="str">
        <f t="shared" si="17"/>
        <v/>
      </c>
      <c r="BD69" s="551" t="str">
        <f t="shared" si="38"/>
        <v>入力済</v>
      </c>
      <c r="BE69" s="551" t="str">
        <f t="shared" si="18"/>
        <v/>
      </c>
      <c r="BF69" s="551" t="str">
        <f t="shared" si="19"/>
        <v/>
      </c>
      <c r="BG69" s="551" t="str">
        <f t="shared" si="20"/>
        <v/>
      </c>
      <c r="BH69" s="551" t="str">
        <f t="shared" si="39"/>
        <v/>
      </c>
      <c r="BI69" s="551" t="str">
        <f t="shared" si="40"/>
        <v/>
      </c>
      <c r="BK69" s="27"/>
      <c r="BL69" s="587" t="str">
        <f t="shared" si="21"/>
        <v/>
      </c>
      <c r="BM69" s="587" t="str">
        <f t="shared" si="22"/>
        <v/>
      </c>
      <c r="BN69" s="587" t="str">
        <f t="shared" si="23"/>
        <v/>
      </c>
      <c r="BO69" s="588" t="str">
        <f>IF(BM69="","",ROUNDDOWN(L69*VLOOKUP(K69,【参考】数式用!$A$4:$J$42,10,FALSE)*AA69,0))</f>
        <v/>
      </c>
      <c r="BP69" s="587" t="str">
        <f t="shared" si="24"/>
        <v/>
      </c>
      <c r="BQ69" s="587" t="str">
        <f t="shared" si="25"/>
        <v/>
      </c>
      <c r="BR69" s="589" t="str">
        <f t="shared" si="26"/>
        <v/>
      </c>
      <c r="BS69" s="589" t="str">
        <f t="shared" si="27"/>
        <v/>
      </c>
      <c r="BT69" s="587" t="str">
        <f t="shared" si="28"/>
        <v/>
      </c>
      <c r="BU69" s="588" t="str">
        <f>IF(BT69="Ⅱロ有り",ROUNDDOWN(L69*VLOOKUP(K69,【参考】数式用!$A$4:$J$42,10,FALSE)*AA69,0),"")</f>
        <v/>
      </c>
      <c r="BV69" s="587" t="str">
        <f>IF(BT69="Ⅱロなし",ROUNDDOWN(L69*VLOOKUP(K69,【参考】数式用!$A$4:$J$42,8,FALSE)*AA69,0),"")</f>
        <v/>
      </c>
    </row>
    <row r="70" spans="1:74" ht="109.9" customHeight="1" thickBot="1">
      <c r="A70" s="303">
        <v>57</v>
      </c>
      <c r="B70" s="933" t="str">
        <f>IF(基本情報入力シート!B92="","",基本情報入力シート!B92)</f>
        <v/>
      </c>
      <c r="C70" s="934"/>
      <c r="D70" s="934"/>
      <c r="E70" s="934"/>
      <c r="F70" s="935"/>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49" t="str">
        <f>IF(基本情報入力シート!AF92=0, "",基本情報入力シート!AF92)</f>
        <v/>
      </c>
      <c r="M70" s="516" t="str">
        <f>IF('別紙様式2-2（個票（４、５月））'!M70="","",'別紙様式2-2（個票（４、５月））'!M70)</f>
        <v/>
      </c>
      <c r="N70" s="515" t="str">
        <f>IF('別紙様式2-2（個票（４、５月））'!N70="","",'別紙様式2-2（個票（４、５月））'!N70)</f>
        <v/>
      </c>
      <c r="O70" s="286"/>
      <c r="P70" s="546" t="str">
        <f>IFERROR(VLOOKUP(K70,【参考】数式用!$A$2:$M$57,MATCH(O70,【参考】数式用!$G$3:$M$3,0)+6,0),"")</f>
        <v/>
      </c>
      <c r="Q70" s="310" t="s">
        <v>118</v>
      </c>
      <c r="R70" s="308"/>
      <c r="S70" s="309" t="s">
        <v>183</v>
      </c>
      <c r="T70" s="308"/>
      <c r="U70" s="309" t="s">
        <v>184</v>
      </c>
      <c r="V70" s="308"/>
      <c r="W70" s="309" t="s">
        <v>183</v>
      </c>
      <c r="X70" s="308"/>
      <c r="Y70" s="309" t="s">
        <v>185</v>
      </c>
      <c r="Z70" s="309" t="s">
        <v>186</v>
      </c>
      <c r="AA70" s="309" t="str">
        <f t="shared" si="29"/>
        <v/>
      </c>
      <c r="AB70" s="305" t="s">
        <v>187</v>
      </c>
      <c r="AC70" s="306" t="str">
        <f t="shared" si="10"/>
        <v/>
      </c>
      <c r="AD70" s="507"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48" t="str">
        <f>IFERROR(VLOOKUP(K70,【参考】数式用!$A$2:$N$57,14,FALSE),"")</f>
        <v/>
      </c>
      <c r="AP70" s="548" t="str">
        <f t="shared" si="13"/>
        <v/>
      </c>
      <c r="AQ70" s="552" t="str">
        <f t="shared" si="32"/>
        <v/>
      </c>
      <c r="AR70" s="552" t="str">
        <f t="shared" si="30"/>
        <v>キャリアパス要件Ⅰ・Ⅱ_</v>
      </c>
      <c r="AS70" s="531" t="str">
        <f t="shared" si="33"/>
        <v>入力済</v>
      </c>
      <c r="AT70" s="548" t="str">
        <f t="shared" si="14"/>
        <v/>
      </c>
      <c r="AU70" s="531" t="str">
        <f t="shared" si="34"/>
        <v>入力済</v>
      </c>
      <c r="AV70" s="531" t="str">
        <f t="shared" si="35"/>
        <v/>
      </c>
      <c r="AW70" s="531" t="str">
        <f t="shared" si="15"/>
        <v/>
      </c>
      <c r="AX70" s="548" t="str">
        <f t="shared" si="36"/>
        <v/>
      </c>
      <c r="AY70" s="531" t="str">
        <f>IFERROR(VLOOKUP(K70,【参考】数式用!$AR$3:$AS$49, 2, FALSE), "")</f>
        <v/>
      </c>
      <c r="AZ70" s="548" t="str">
        <f t="shared" si="16"/>
        <v/>
      </c>
      <c r="BA70" s="551" t="str">
        <f t="shared" si="37"/>
        <v>入力済</v>
      </c>
      <c r="BB70" s="531" t="str">
        <f>IFERROR(VLOOKUP(K70,【参考】数式用!$AX$3:$AY$59, 2, FALSE), "")</f>
        <v/>
      </c>
      <c r="BC70" s="548" t="str">
        <f t="shared" si="17"/>
        <v/>
      </c>
      <c r="BD70" s="551" t="str">
        <f t="shared" si="38"/>
        <v>入力済</v>
      </c>
      <c r="BE70" s="551" t="str">
        <f t="shared" si="18"/>
        <v/>
      </c>
      <c r="BF70" s="551" t="str">
        <f t="shared" si="19"/>
        <v/>
      </c>
      <c r="BG70" s="551" t="str">
        <f t="shared" si="20"/>
        <v/>
      </c>
      <c r="BH70" s="551" t="str">
        <f t="shared" si="39"/>
        <v/>
      </c>
      <c r="BI70" s="551" t="str">
        <f t="shared" si="40"/>
        <v/>
      </c>
      <c r="BK70" s="27"/>
      <c r="BL70" s="587" t="str">
        <f t="shared" si="21"/>
        <v/>
      </c>
      <c r="BM70" s="587" t="str">
        <f t="shared" si="22"/>
        <v/>
      </c>
      <c r="BN70" s="587" t="str">
        <f t="shared" si="23"/>
        <v/>
      </c>
      <c r="BO70" s="588" t="str">
        <f>IF(BM70="","",ROUNDDOWN(L70*VLOOKUP(K70,【参考】数式用!$A$4:$J$42,10,FALSE)*AA70,0))</f>
        <v/>
      </c>
      <c r="BP70" s="587" t="str">
        <f t="shared" si="24"/>
        <v/>
      </c>
      <c r="BQ70" s="587" t="str">
        <f t="shared" si="25"/>
        <v/>
      </c>
      <c r="BR70" s="589" t="str">
        <f t="shared" si="26"/>
        <v/>
      </c>
      <c r="BS70" s="589" t="str">
        <f t="shared" si="27"/>
        <v/>
      </c>
      <c r="BT70" s="587" t="str">
        <f t="shared" si="28"/>
        <v/>
      </c>
      <c r="BU70" s="588" t="str">
        <f>IF(BT70="Ⅱロ有り",ROUNDDOWN(L70*VLOOKUP(K70,【参考】数式用!$A$4:$J$42,10,FALSE)*AA70,0),"")</f>
        <v/>
      </c>
      <c r="BV70" s="587" t="str">
        <f>IF(BT70="Ⅱロなし",ROUNDDOWN(L70*VLOOKUP(K70,【参考】数式用!$A$4:$J$42,8,FALSE)*AA70,0),"")</f>
        <v/>
      </c>
    </row>
    <row r="71" spans="1:74" ht="109.9" customHeight="1" thickBot="1">
      <c r="A71" s="303">
        <v>58</v>
      </c>
      <c r="B71" s="933" t="str">
        <f>IF(基本情報入力シート!B93="","",基本情報入力シート!B93)</f>
        <v/>
      </c>
      <c r="C71" s="934"/>
      <c r="D71" s="934"/>
      <c r="E71" s="934"/>
      <c r="F71" s="935"/>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49" t="str">
        <f>IF(基本情報入力シート!AF93=0, "",基本情報入力シート!AF93)</f>
        <v/>
      </c>
      <c r="M71" s="516" t="str">
        <f>IF('別紙様式2-2（個票（４、５月））'!M71="","",'別紙様式2-2（個票（４、５月））'!M71)</f>
        <v/>
      </c>
      <c r="N71" s="515" t="str">
        <f>IF('別紙様式2-2（個票（４、５月））'!N71="","",'別紙様式2-2（個票（４、５月））'!N71)</f>
        <v/>
      </c>
      <c r="O71" s="286"/>
      <c r="P71" s="546" t="str">
        <f>IFERROR(VLOOKUP(K71,【参考】数式用!$A$2:$M$57,MATCH(O71,【参考】数式用!$G$3:$M$3,0)+6,0),"")</f>
        <v/>
      </c>
      <c r="Q71" s="310" t="s">
        <v>118</v>
      </c>
      <c r="R71" s="308"/>
      <c r="S71" s="309" t="s">
        <v>183</v>
      </c>
      <c r="T71" s="308"/>
      <c r="U71" s="309" t="s">
        <v>184</v>
      </c>
      <c r="V71" s="308"/>
      <c r="W71" s="309" t="s">
        <v>183</v>
      </c>
      <c r="X71" s="308"/>
      <c r="Y71" s="309" t="s">
        <v>120</v>
      </c>
      <c r="Z71" s="309" t="s">
        <v>186</v>
      </c>
      <c r="AA71" s="309" t="str">
        <f t="shared" si="29"/>
        <v/>
      </c>
      <c r="AB71" s="305" t="s">
        <v>187</v>
      </c>
      <c r="AC71" s="306" t="str">
        <f t="shared" si="10"/>
        <v/>
      </c>
      <c r="AD71" s="507"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48" t="str">
        <f>IFERROR(VLOOKUP(K71,【参考】数式用!$A$2:$N$57,14,FALSE),"")</f>
        <v/>
      </c>
      <c r="AP71" s="548" t="str">
        <f t="shared" si="13"/>
        <v/>
      </c>
      <c r="AQ71" s="552" t="str">
        <f t="shared" si="32"/>
        <v/>
      </c>
      <c r="AR71" s="552" t="str">
        <f t="shared" si="30"/>
        <v>キャリアパス要件Ⅰ・Ⅱ_</v>
      </c>
      <c r="AS71" s="531" t="str">
        <f t="shared" si="33"/>
        <v>入力済</v>
      </c>
      <c r="AT71" s="548" t="str">
        <f t="shared" si="14"/>
        <v/>
      </c>
      <c r="AU71" s="531" t="str">
        <f t="shared" si="34"/>
        <v>入力済</v>
      </c>
      <c r="AV71" s="531" t="str">
        <f t="shared" si="35"/>
        <v/>
      </c>
      <c r="AW71" s="531" t="str">
        <f t="shared" si="15"/>
        <v/>
      </c>
      <c r="AX71" s="548" t="str">
        <f t="shared" si="36"/>
        <v/>
      </c>
      <c r="AY71" s="531" t="str">
        <f>IFERROR(VLOOKUP(K71,【参考】数式用!$AR$3:$AS$49, 2, FALSE), "")</f>
        <v/>
      </c>
      <c r="AZ71" s="548" t="str">
        <f t="shared" si="16"/>
        <v/>
      </c>
      <c r="BA71" s="551" t="str">
        <f t="shared" si="37"/>
        <v>入力済</v>
      </c>
      <c r="BB71" s="531" t="str">
        <f>IFERROR(VLOOKUP(K71,【参考】数式用!$AX$3:$AY$59, 2, FALSE), "")</f>
        <v/>
      </c>
      <c r="BC71" s="548" t="str">
        <f t="shared" si="17"/>
        <v/>
      </c>
      <c r="BD71" s="551" t="str">
        <f t="shared" si="38"/>
        <v>入力済</v>
      </c>
      <c r="BE71" s="551" t="str">
        <f t="shared" si="18"/>
        <v/>
      </c>
      <c r="BF71" s="551" t="str">
        <f t="shared" si="19"/>
        <v/>
      </c>
      <c r="BG71" s="551" t="str">
        <f t="shared" si="20"/>
        <v/>
      </c>
      <c r="BH71" s="551" t="str">
        <f t="shared" si="39"/>
        <v/>
      </c>
      <c r="BI71" s="551" t="str">
        <f t="shared" si="40"/>
        <v/>
      </c>
      <c r="BK71" s="27"/>
      <c r="BL71" s="587" t="str">
        <f t="shared" si="21"/>
        <v/>
      </c>
      <c r="BM71" s="587" t="str">
        <f t="shared" si="22"/>
        <v/>
      </c>
      <c r="BN71" s="587" t="str">
        <f t="shared" si="23"/>
        <v/>
      </c>
      <c r="BO71" s="588" t="str">
        <f>IF(BM71="","",ROUNDDOWN(L71*VLOOKUP(K71,【参考】数式用!$A$4:$J$42,10,FALSE)*AA71,0))</f>
        <v/>
      </c>
      <c r="BP71" s="587" t="str">
        <f t="shared" si="24"/>
        <v/>
      </c>
      <c r="BQ71" s="587" t="str">
        <f t="shared" si="25"/>
        <v/>
      </c>
      <c r="BR71" s="589" t="str">
        <f t="shared" si="26"/>
        <v/>
      </c>
      <c r="BS71" s="589" t="str">
        <f t="shared" si="27"/>
        <v/>
      </c>
      <c r="BT71" s="587" t="str">
        <f t="shared" si="28"/>
        <v/>
      </c>
      <c r="BU71" s="588" t="str">
        <f>IF(BT71="Ⅱロ有り",ROUNDDOWN(L71*VLOOKUP(K71,【参考】数式用!$A$4:$J$42,10,FALSE)*AA71,0),"")</f>
        <v/>
      </c>
      <c r="BV71" s="587" t="str">
        <f>IF(BT71="Ⅱロなし",ROUNDDOWN(L71*VLOOKUP(K71,【参考】数式用!$A$4:$J$42,8,FALSE)*AA71,0),"")</f>
        <v/>
      </c>
    </row>
    <row r="72" spans="1:74" ht="109.9" customHeight="1" thickBot="1">
      <c r="A72" s="303">
        <v>59</v>
      </c>
      <c r="B72" s="933" t="str">
        <f>IF(基本情報入力シート!B94="","",基本情報入力シート!B94)</f>
        <v/>
      </c>
      <c r="C72" s="934"/>
      <c r="D72" s="934"/>
      <c r="E72" s="934"/>
      <c r="F72" s="935"/>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49" t="str">
        <f>IF(基本情報入力シート!AF94=0, "",基本情報入力シート!AF94)</f>
        <v/>
      </c>
      <c r="M72" s="516" t="str">
        <f>IF('別紙様式2-2（個票（４、５月））'!M72="","",'別紙様式2-2（個票（４、５月））'!M72)</f>
        <v/>
      </c>
      <c r="N72" s="515" t="str">
        <f>IF('別紙様式2-2（個票（４、５月））'!N72="","",'別紙様式2-2（個票（４、５月））'!N72)</f>
        <v/>
      </c>
      <c r="O72" s="286"/>
      <c r="P72" s="546" t="str">
        <f>IFERROR(VLOOKUP(K72,【参考】数式用!$A$2:$M$57,MATCH(O72,【参考】数式用!$G$3:$M$3,0)+6,0),"")</f>
        <v/>
      </c>
      <c r="Q72" s="310" t="s">
        <v>118</v>
      </c>
      <c r="R72" s="308"/>
      <c r="S72" s="309" t="s">
        <v>183</v>
      </c>
      <c r="T72" s="308"/>
      <c r="U72" s="309" t="s">
        <v>184</v>
      </c>
      <c r="V72" s="308"/>
      <c r="W72" s="309" t="s">
        <v>183</v>
      </c>
      <c r="X72" s="308"/>
      <c r="Y72" s="309" t="s">
        <v>120</v>
      </c>
      <c r="Z72" s="309" t="s">
        <v>186</v>
      </c>
      <c r="AA72" s="309" t="str">
        <f t="shared" si="29"/>
        <v/>
      </c>
      <c r="AB72" s="305" t="s">
        <v>187</v>
      </c>
      <c r="AC72" s="306" t="str">
        <f t="shared" si="10"/>
        <v/>
      </c>
      <c r="AD72" s="507"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48" t="str">
        <f>IFERROR(VLOOKUP(K72,【参考】数式用!$A$2:$N$57,14,FALSE),"")</f>
        <v/>
      </c>
      <c r="AP72" s="548" t="str">
        <f t="shared" si="13"/>
        <v/>
      </c>
      <c r="AQ72" s="552" t="str">
        <f t="shared" si="32"/>
        <v/>
      </c>
      <c r="AR72" s="552" t="str">
        <f t="shared" si="30"/>
        <v>キャリアパス要件Ⅰ・Ⅱ_</v>
      </c>
      <c r="AS72" s="531" t="str">
        <f t="shared" si="33"/>
        <v>入力済</v>
      </c>
      <c r="AT72" s="548" t="str">
        <f t="shared" si="14"/>
        <v/>
      </c>
      <c r="AU72" s="531" t="str">
        <f t="shared" si="34"/>
        <v>入力済</v>
      </c>
      <c r="AV72" s="531" t="str">
        <f t="shared" si="35"/>
        <v/>
      </c>
      <c r="AW72" s="531" t="str">
        <f t="shared" si="15"/>
        <v/>
      </c>
      <c r="AX72" s="548" t="str">
        <f t="shared" si="36"/>
        <v/>
      </c>
      <c r="AY72" s="531" t="str">
        <f>IFERROR(VLOOKUP(K72,【参考】数式用!$AR$3:$AS$49, 2, FALSE), "")</f>
        <v/>
      </c>
      <c r="AZ72" s="548" t="str">
        <f t="shared" si="16"/>
        <v/>
      </c>
      <c r="BA72" s="551" t="str">
        <f t="shared" si="37"/>
        <v>入力済</v>
      </c>
      <c r="BB72" s="531" t="str">
        <f>IFERROR(VLOOKUP(K72,【参考】数式用!$AX$3:$AY$59, 2, FALSE), "")</f>
        <v/>
      </c>
      <c r="BC72" s="548" t="str">
        <f t="shared" si="17"/>
        <v/>
      </c>
      <c r="BD72" s="551" t="str">
        <f t="shared" si="38"/>
        <v>入力済</v>
      </c>
      <c r="BE72" s="551" t="str">
        <f t="shared" si="18"/>
        <v/>
      </c>
      <c r="BF72" s="551" t="str">
        <f t="shared" si="19"/>
        <v/>
      </c>
      <c r="BG72" s="551" t="str">
        <f t="shared" si="20"/>
        <v/>
      </c>
      <c r="BH72" s="551" t="str">
        <f t="shared" si="39"/>
        <v/>
      </c>
      <c r="BI72" s="551" t="str">
        <f t="shared" si="40"/>
        <v/>
      </c>
      <c r="BK72" s="27"/>
      <c r="BL72" s="587" t="str">
        <f t="shared" si="21"/>
        <v/>
      </c>
      <c r="BM72" s="587" t="str">
        <f t="shared" si="22"/>
        <v/>
      </c>
      <c r="BN72" s="587" t="str">
        <f t="shared" si="23"/>
        <v/>
      </c>
      <c r="BO72" s="588" t="str">
        <f>IF(BM72="","",ROUNDDOWN(L72*VLOOKUP(K72,【参考】数式用!$A$4:$J$42,10,FALSE)*AA72,0))</f>
        <v/>
      </c>
      <c r="BP72" s="587" t="str">
        <f t="shared" si="24"/>
        <v/>
      </c>
      <c r="BQ72" s="587" t="str">
        <f t="shared" si="25"/>
        <v/>
      </c>
      <c r="BR72" s="589" t="str">
        <f t="shared" si="26"/>
        <v/>
      </c>
      <c r="BS72" s="589" t="str">
        <f t="shared" si="27"/>
        <v/>
      </c>
      <c r="BT72" s="587" t="str">
        <f t="shared" si="28"/>
        <v/>
      </c>
      <c r="BU72" s="588" t="str">
        <f>IF(BT72="Ⅱロ有り",ROUNDDOWN(L72*VLOOKUP(K72,【参考】数式用!$A$4:$J$42,10,FALSE)*AA72,0),"")</f>
        <v/>
      </c>
      <c r="BV72" s="587" t="str">
        <f>IF(BT72="Ⅱロなし",ROUNDDOWN(L72*VLOOKUP(K72,【参考】数式用!$A$4:$J$42,8,FALSE)*AA72,0),"")</f>
        <v/>
      </c>
    </row>
    <row r="73" spans="1:74" ht="109.9" customHeight="1" thickBot="1">
      <c r="A73" s="303">
        <v>60</v>
      </c>
      <c r="B73" s="933" t="str">
        <f>IF(基本情報入力シート!B95="","",基本情報入力シート!B95)</f>
        <v/>
      </c>
      <c r="C73" s="934"/>
      <c r="D73" s="934"/>
      <c r="E73" s="934"/>
      <c r="F73" s="935"/>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49" t="str">
        <f>IF(基本情報入力シート!AF95=0, "",基本情報入力シート!AF95)</f>
        <v/>
      </c>
      <c r="M73" s="516" t="str">
        <f>IF('別紙様式2-2（個票（４、５月））'!M73="","",'別紙様式2-2（個票（４、５月））'!M73)</f>
        <v/>
      </c>
      <c r="N73" s="515" t="str">
        <f>IF('別紙様式2-2（個票（４、５月））'!N73="","",'別紙様式2-2（個票（４、５月））'!N73)</f>
        <v/>
      </c>
      <c r="O73" s="286"/>
      <c r="P73" s="546" t="str">
        <f>IFERROR(VLOOKUP(K73,【参考】数式用!$A$2:$M$57,MATCH(O73,【参考】数式用!$G$3:$M$3,0)+6,0),"")</f>
        <v/>
      </c>
      <c r="Q73" s="310" t="s">
        <v>118</v>
      </c>
      <c r="R73" s="308"/>
      <c r="S73" s="309" t="s">
        <v>183</v>
      </c>
      <c r="T73" s="308"/>
      <c r="U73" s="309" t="s">
        <v>184</v>
      </c>
      <c r="V73" s="308"/>
      <c r="W73" s="309" t="s">
        <v>183</v>
      </c>
      <c r="X73" s="308"/>
      <c r="Y73" s="309" t="s">
        <v>185</v>
      </c>
      <c r="Z73" s="309" t="s">
        <v>186</v>
      </c>
      <c r="AA73" s="309" t="str">
        <f t="shared" si="29"/>
        <v/>
      </c>
      <c r="AB73" s="305" t="s">
        <v>187</v>
      </c>
      <c r="AC73" s="306" t="str">
        <f t="shared" si="10"/>
        <v/>
      </c>
      <c r="AD73" s="507"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48" t="str">
        <f>IFERROR(VLOOKUP(K73,【参考】数式用!$A$2:$N$57,14,FALSE),"")</f>
        <v/>
      </c>
      <c r="AP73" s="548" t="str">
        <f t="shared" si="13"/>
        <v/>
      </c>
      <c r="AQ73" s="552" t="str">
        <f t="shared" si="32"/>
        <v/>
      </c>
      <c r="AR73" s="552" t="str">
        <f t="shared" si="30"/>
        <v>キャリアパス要件Ⅰ・Ⅱ_</v>
      </c>
      <c r="AS73" s="531" t="str">
        <f t="shared" si="33"/>
        <v>入力済</v>
      </c>
      <c r="AT73" s="548" t="str">
        <f t="shared" si="14"/>
        <v/>
      </c>
      <c r="AU73" s="531" t="str">
        <f t="shared" si="34"/>
        <v>入力済</v>
      </c>
      <c r="AV73" s="531" t="str">
        <f t="shared" si="35"/>
        <v/>
      </c>
      <c r="AW73" s="531" t="str">
        <f t="shared" si="15"/>
        <v/>
      </c>
      <c r="AX73" s="548" t="str">
        <f t="shared" si="36"/>
        <v/>
      </c>
      <c r="AY73" s="531" t="str">
        <f>IFERROR(VLOOKUP(K73,【参考】数式用!$AR$3:$AS$49, 2, FALSE), "")</f>
        <v/>
      </c>
      <c r="AZ73" s="548" t="str">
        <f t="shared" si="16"/>
        <v/>
      </c>
      <c r="BA73" s="551" t="str">
        <f t="shared" si="37"/>
        <v>入力済</v>
      </c>
      <c r="BB73" s="531" t="str">
        <f>IFERROR(VLOOKUP(K73,【参考】数式用!$AX$3:$AY$59, 2, FALSE), "")</f>
        <v/>
      </c>
      <c r="BC73" s="548" t="str">
        <f t="shared" si="17"/>
        <v/>
      </c>
      <c r="BD73" s="551" t="str">
        <f t="shared" si="38"/>
        <v>入力済</v>
      </c>
      <c r="BE73" s="551" t="str">
        <f t="shared" si="18"/>
        <v/>
      </c>
      <c r="BF73" s="551" t="str">
        <f t="shared" si="19"/>
        <v/>
      </c>
      <c r="BG73" s="551" t="str">
        <f t="shared" si="20"/>
        <v/>
      </c>
      <c r="BH73" s="551" t="str">
        <f t="shared" si="39"/>
        <v/>
      </c>
      <c r="BI73" s="551" t="str">
        <f t="shared" si="40"/>
        <v/>
      </c>
      <c r="BK73" s="27"/>
      <c r="BL73" s="587" t="str">
        <f t="shared" si="21"/>
        <v/>
      </c>
      <c r="BM73" s="587" t="str">
        <f t="shared" si="22"/>
        <v/>
      </c>
      <c r="BN73" s="587" t="str">
        <f t="shared" si="23"/>
        <v/>
      </c>
      <c r="BO73" s="588" t="str">
        <f>IF(BM73="","",ROUNDDOWN(L73*VLOOKUP(K73,【参考】数式用!$A$4:$J$42,10,FALSE)*AA73,0))</f>
        <v/>
      </c>
      <c r="BP73" s="587" t="str">
        <f t="shared" si="24"/>
        <v/>
      </c>
      <c r="BQ73" s="587" t="str">
        <f t="shared" si="25"/>
        <v/>
      </c>
      <c r="BR73" s="589" t="str">
        <f t="shared" si="26"/>
        <v/>
      </c>
      <c r="BS73" s="589" t="str">
        <f t="shared" si="27"/>
        <v/>
      </c>
      <c r="BT73" s="587" t="str">
        <f t="shared" si="28"/>
        <v/>
      </c>
      <c r="BU73" s="588" t="str">
        <f>IF(BT73="Ⅱロ有り",ROUNDDOWN(L73*VLOOKUP(K73,【参考】数式用!$A$4:$J$42,10,FALSE)*AA73,0),"")</f>
        <v/>
      </c>
      <c r="BV73" s="587" t="str">
        <f>IF(BT73="Ⅱロなし",ROUNDDOWN(L73*VLOOKUP(K73,【参考】数式用!$A$4:$J$42,8,FALSE)*AA73,0),"")</f>
        <v/>
      </c>
    </row>
    <row r="74" spans="1:74" ht="109.9" customHeight="1" thickBot="1">
      <c r="A74" s="303">
        <v>61</v>
      </c>
      <c r="B74" s="933" t="str">
        <f>IF(基本情報入力シート!B96="","",基本情報入力シート!B96)</f>
        <v/>
      </c>
      <c r="C74" s="934"/>
      <c r="D74" s="934"/>
      <c r="E74" s="934"/>
      <c r="F74" s="935"/>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49" t="str">
        <f>IF(基本情報入力シート!AF96=0, "",基本情報入力シート!AF96)</f>
        <v/>
      </c>
      <c r="M74" s="516" t="str">
        <f>IF('別紙様式2-2（個票（４、５月））'!M74="","",'別紙様式2-2（個票（４、５月））'!M74)</f>
        <v/>
      </c>
      <c r="N74" s="515" t="str">
        <f>IF('別紙様式2-2（個票（４、５月））'!N74="","",'別紙様式2-2（個票（４、５月））'!N74)</f>
        <v/>
      </c>
      <c r="O74" s="286"/>
      <c r="P74" s="546" t="str">
        <f>IFERROR(VLOOKUP(K74,【参考】数式用!$A$2:$M$57,MATCH(O74,【参考】数式用!$G$3:$M$3,0)+6,0),"")</f>
        <v/>
      </c>
      <c r="Q74" s="310" t="s">
        <v>118</v>
      </c>
      <c r="R74" s="308"/>
      <c r="S74" s="309" t="s">
        <v>183</v>
      </c>
      <c r="T74" s="308"/>
      <c r="U74" s="309" t="s">
        <v>184</v>
      </c>
      <c r="V74" s="308"/>
      <c r="W74" s="309" t="s">
        <v>183</v>
      </c>
      <c r="X74" s="308"/>
      <c r="Y74" s="309" t="s">
        <v>185</v>
      </c>
      <c r="Z74" s="309" t="s">
        <v>186</v>
      </c>
      <c r="AA74" s="309" t="str">
        <f t="shared" si="29"/>
        <v/>
      </c>
      <c r="AB74" s="305" t="s">
        <v>187</v>
      </c>
      <c r="AC74" s="306" t="str">
        <f t="shared" si="10"/>
        <v/>
      </c>
      <c r="AD74" s="507"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48" t="str">
        <f>IFERROR(VLOOKUP(K74,【参考】数式用!$A$2:$N$57,14,FALSE),"")</f>
        <v/>
      </c>
      <c r="AP74" s="548" t="str">
        <f t="shared" si="13"/>
        <v/>
      </c>
      <c r="AQ74" s="552" t="str">
        <f t="shared" si="32"/>
        <v/>
      </c>
      <c r="AR74" s="552" t="str">
        <f t="shared" si="30"/>
        <v>キャリアパス要件Ⅰ・Ⅱ_</v>
      </c>
      <c r="AS74" s="531" t="str">
        <f t="shared" si="33"/>
        <v>入力済</v>
      </c>
      <c r="AT74" s="548" t="str">
        <f t="shared" si="14"/>
        <v/>
      </c>
      <c r="AU74" s="531" t="str">
        <f t="shared" si="34"/>
        <v>入力済</v>
      </c>
      <c r="AV74" s="531" t="str">
        <f t="shared" si="35"/>
        <v/>
      </c>
      <c r="AW74" s="531" t="str">
        <f t="shared" si="15"/>
        <v/>
      </c>
      <c r="AX74" s="548" t="str">
        <f t="shared" si="36"/>
        <v/>
      </c>
      <c r="AY74" s="531" t="str">
        <f>IFERROR(VLOOKUP(K74,【参考】数式用!$AR$3:$AS$49, 2, FALSE), "")</f>
        <v/>
      </c>
      <c r="AZ74" s="548" t="str">
        <f t="shared" si="16"/>
        <v/>
      </c>
      <c r="BA74" s="551" t="str">
        <f t="shared" si="37"/>
        <v>入力済</v>
      </c>
      <c r="BB74" s="531" t="str">
        <f>IFERROR(VLOOKUP(K74,【参考】数式用!$AX$3:$AY$59, 2, FALSE), "")</f>
        <v/>
      </c>
      <c r="BC74" s="548" t="str">
        <f t="shared" si="17"/>
        <v/>
      </c>
      <c r="BD74" s="551" t="str">
        <f t="shared" si="38"/>
        <v>入力済</v>
      </c>
      <c r="BE74" s="551" t="str">
        <f t="shared" si="18"/>
        <v/>
      </c>
      <c r="BF74" s="551" t="str">
        <f t="shared" si="19"/>
        <v/>
      </c>
      <c r="BG74" s="551" t="str">
        <f t="shared" si="20"/>
        <v/>
      </c>
      <c r="BH74" s="551" t="str">
        <f t="shared" si="39"/>
        <v/>
      </c>
      <c r="BI74" s="551" t="str">
        <f t="shared" si="40"/>
        <v/>
      </c>
      <c r="BK74" s="27"/>
      <c r="BL74" s="587" t="str">
        <f t="shared" si="21"/>
        <v/>
      </c>
      <c r="BM74" s="587" t="str">
        <f t="shared" si="22"/>
        <v/>
      </c>
      <c r="BN74" s="587" t="str">
        <f t="shared" si="23"/>
        <v/>
      </c>
      <c r="BO74" s="588" t="str">
        <f>IF(BM74="","",ROUNDDOWN(L74*VLOOKUP(K74,【参考】数式用!$A$4:$J$42,10,FALSE)*AA74,0))</f>
        <v/>
      </c>
      <c r="BP74" s="587" t="str">
        <f t="shared" si="24"/>
        <v/>
      </c>
      <c r="BQ74" s="587" t="str">
        <f t="shared" si="25"/>
        <v/>
      </c>
      <c r="BR74" s="589" t="str">
        <f t="shared" si="26"/>
        <v/>
      </c>
      <c r="BS74" s="589" t="str">
        <f t="shared" si="27"/>
        <v/>
      </c>
      <c r="BT74" s="587" t="str">
        <f t="shared" si="28"/>
        <v/>
      </c>
      <c r="BU74" s="588" t="str">
        <f>IF(BT74="Ⅱロ有り",ROUNDDOWN(L74*VLOOKUP(K74,【参考】数式用!$A$4:$J$42,10,FALSE)*AA74,0),"")</f>
        <v/>
      </c>
      <c r="BV74" s="587" t="str">
        <f>IF(BT74="Ⅱロなし",ROUNDDOWN(L74*VLOOKUP(K74,【参考】数式用!$A$4:$J$42,8,FALSE)*AA74,0),"")</f>
        <v/>
      </c>
    </row>
    <row r="75" spans="1:74" ht="109.9" customHeight="1" thickBot="1">
      <c r="A75" s="303">
        <v>62</v>
      </c>
      <c r="B75" s="933" t="str">
        <f>IF(基本情報入力シート!B97="","",基本情報入力シート!B97)</f>
        <v/>
      </c>
      <c r="C75" s="934"/>
      <c r="D75" s="934"/>
      <c r="E75" s="934"/>
      <c r="F75" s="935"/>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49" t="str">
        <f>IF(基本情報入力シート!AF97=0, "",基本情報入力シート!AF97)</f>
        <v/>
      </c>
      <c r="M75" s="516" t="str">
        <f>IF('別紙様式2-2（個票（４、５月））'!M75="","",'別紙様式2-2（個票（４、５月））'!M75)</f>
        <v/>
      </c>
      <c r="N75" s="515" t="str">
        <f>IF('別紙様式2-2（個票（４、５月））'!N75="","",'別紙様式2-2（個票（４、５月））'!N75)</f>
        <v/>
      </c>
      <c r="O75" s="286"/>
      <c r="P75" s="546" t="str">
        <f>IFERROR(VLOOKUP(K75,【参考】数式用!$A$2:$M$57,MATCH(O75,【参考】数式用!$G$3:$M$3,0)+6,0),"")</f>
        <v/>
      </c>
      <c r="Q75" s="310" t="s">
        <v>118</v>
      </c>
      <c r="R75" s="308"/>
      <c r="S75" s="309" t="s">
        <v>183</v>
      </c>
      <c r="T75" s="308"/>
      <c r="U75" s="309" t="s">
        <v>184</v>
      </c>
      <c r="V75" s="308"/>
      <c r="W75" s="309" t="s">
        <v>183</v>
      </c>
      <c r="X75" s="308"/>
      <c r="Y75" s="309" t="s">
        <v>185</v>
      </c>
      <c r="Z75" s="309" t="s">
        <v>186</v>
      </c>
      <c r="AA75" s="309" t="str">
        <f t="shared" si="29"/>
        <v/>
      </c>
      <c r="AB75" s="305" t="s">
        <v>187</v>
      </c>
      <c r="AC75" s="306" t="str">
        <f t="shared" si="10"/>
        <v/>
      </c>
      <c r="AD75" s="507"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48" t="str">
        <f>IFERROR(VLOOKUP(K75,【参考】数式用!$A$2:$N$57,14,FALSE),"")</f>
        <v/>
      </c>
      <c r="AP75" s="548" t="str">
        <f t="shared" si="13"/>
        <v/>
      </c>
      <c r="AQ75" s="552" t="str">
        <f t="shared" si="32"/>
        <v/>
      </c>
      <c r="AR75" s="552" t="str">
        <f t="shared" si="30"/>
        <v>キャリアパス要件Ⅰ・Ⅱ_</v>
      </c>
      <c r="AS75" s="531" t="str">
        <f t="shared" si="33"/>
        <v>入力済</v>
      </c>
      <c r="AT75" s="548" t="str">
        <f t="shared" si="14"/>
        <v/>
      </c>
      <c r="AU75" s="531" t="str">
        <f t="shared" si="34"/>
        <v>入力済</v>
      </c>
      <c r="AV75" s="531" t="str">
        <f t="shared" si="35"/>
        <v/>
      </c>
      <c r="AW75" s="531" t="str">
        <f t="shared" si="15"/>
        <v/>
      </c>
      <c r="AX75" s="548" t="str">
        <f t="shared" si="36"/>
        <v/>
      </c>
      <c r="AY75" s="531" t="str">
        <f>IFERROR(VLOOKUP(K75,【参考】数式用!$AR$3:$AS$49, 2, FALSE), "")</f>
        <v/>
      </c>
      <c r="AZ75" s="548" t="str">
        <f t="shared" si="16"/>
        <v/>
      </c>
      <c r="BA75" s="551" t="str">
        <f t="shared" si="37"/>
        <v>入力済</v>
      </c>
      <c r="BB75" s="531" t="str">
        <f>IFERROR(VLOOKUP(K75,【参考】数式用!$AX$3:$AY$59, 2, FALSE), "")</f>
        <v/>
      </c>
      <c r="BC75" s="548" t="str">
        <f t="shared" si="17"/>
        <v/>
      </c>
      <c r="BD75" s="551" t="str">
        <f t="shared" si="38"/>
        <v>入力済</v>
      </c>
      <c r="BE75" s="551" t="str">
        <f t="shared" si="18"/>
        <v/>
      </c>
      <c r="BF75" s="551" t="str">
        <f t="shared" si="19"/>
        <v/>
      </c>
      <c r="BG75" s="551" t="str">
        <f t="shared" si="20"/>
        <v/>
      </c>
      <c r="BH75" s="551" t="str">
        <f t="shared" si="39"/>
        <v/>
      </c>
      <c r="BI75" s="551" t="str">
        <f t="shared" si="40"/>
        <v/>
      </c>
      <c r="BK75" s="27"/>
      <c r="BL75" s="587" t="str">
        <f t="shared" si="21"/>
        <v/>
      </c>
      <c r="BM75" s="587" t="str">
        <f t="shared" si="22"/>
        <v/>
      </c>
      <c r="BN75" s="587" t="str">
        <f t="shared" si="23"/>
        <v/>
      </c>
      <c r="BO75" s="588" t="str">
        <f>IF(BM75="","",ROUNDDOWN(L75*VLOOKUP(K75,【参考】数式用!$A$4:$J$42,10,FALSE)*AA75,0))</f>
        <v/>
      </c>
      <c r="BP75" s="587" t="str">
        <f t="shared" si="24"/>
        <v/>
      </c>
      <c r="BQ75" s="587" t="str">
        <f t="shared" si="25"/>
        <v/>
      </c>
      <c r="BR75" s="589" t="str">
        <f t="shared" si="26"/>
        <v/>
      </c>
      <c r="BS75" s="589" t="str">
        <f t="shared" si="27"/>
        <v/>
      </c>
      <c r="BT75" s="587" t="str">
        <f t="shared" si="28"/>
        <v/>
      </c>
      <c r="BU75" s="588" t="str">
        <f>IF(BT75="Ⅱロ有り",ROUNDDOWN(L75*VLOOKUP(K75,【参考】数式用!$A$4:$J$42,10,FALSE)*AA75,0),"")</f>
        <v/>
      </c>
      <c r="BV75" s="587" t="str">
        <f>IF(BT75="Ⅱロなし",ROUNDDOWN(L75*VLOOKUP(K75,【参考】数式用!$A$4:$J$42,8,FALSE)*AA75,0),"")</f>
        <v/>
      </c>
    </row>
    <row r="76" spans="1:74" ht="109.9" customHeight="1" thickBot="1">
      <c r="A76" s="303">
        <v>63</v>
      </c>
      <c r="B76" s="933" t="str">
        <f>IF(基本情報入力シート!B98="","",基本情報入力シート!B98)</f>
        <v/>
      </c>
      <c r="C76" s="934"/>
      <c r="D76" s="934"/>
      <c r="E76" s="934"/>
      <c r="F76" s="935"/>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49" t="str">
        <f>IF(基本情報入力シート!AF98=0, "",基本情報入力シート!AF98)</f>
        <v/>
      </c>
      <c r="M76" s="516" t="str">
        <f>IF('別紙様式2-2（個票（４、５月））'!M76="","",'別紙様式2-2（個票（４、５月））'!M76)</f>
        <v/>
      </c>
      <c r="N76" s="515" t="str">
        <f>IF('別紙様式2-2（個票（４、５月））'!N76="","",'別紙様式2-2（個票（４、５月））'!N76)</f>
        <v/>
      </c>
      <c r="O76" s="286"/>
      <c r="P76" s="546" t="str">
        <f>IFERROR(VLOOKUP(K76,【参考】数式用!$A$2:$M$57,MATCH(O76,【参考】数式用!$G$3:$M$3,0)+6,0),"")</f>
        <v/>
      </c>
      <c r="Q76" s="310" t="s">
        <v>118</v>
      </c>
      <c r="R76" s="308"/>
      <c r="S76" s="309" t="s">
        <v>183</v>
      </c>
      <c r="T76" s="308"/>
      <c r="U76" s="309" t="s">
        <v>184</v>
      </c>
      <c r="V76" s="308"/>
      <c r="W76" s="309" t="s">
        <v>183</v>
      </c>
      <c r="X76" s="308"/>
      <c r="Y76" s="309" t="s">
        <v>120</v>
      </c>
      <c r="Z76" s="309" t="s">
        <v>186</v>
      </c>
      <c r="AA76" s="309" t="str">
        <f t="shared" si="29"/>
        <v/>
      </c>
      <c r="AB76" s="305" t="s">
        <v>187</v>
      </c>
      <c r="AC76" s="306" t="str">
        <f t="shared" si="10"/>
        <v/>
      </c>
      <c r="AD76" s="507"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48" t="str">
        <f>IFERROR(VLOOKUP(K76,【参考】数式用!$A$2:$N$57,14,FALSE),"")</f>
        <v/>
      </c>
      <c r="AP76" s="548" t="str">
        <f t="shared" si="13"/>
        <v/>
      </c>
      <c r="AQ76" s="552" t="str">
        <f t="shared" si="32"/>
        <v/>
      </c>
      <c r="AR76" s="552" t="str">
        <f t="shared" si="30"/>
        <v>キャリアパス要件Ⅰ・Ⅱ_</v>
      </c>
      <c r="AS76" s="531" t="str">
        <f t="shared" si="33"/>
        <v>入力済</v>
      </c>
      <c r="AT76" s="548" t="str">
        <f t="shared" si="14"/>
        <v/>
      </c>
      <c r="AU76" s="531" t="str">
        <f t="shared" si="34"/>
        <v>入力済</v>
      </c>
      <c r="AV76" s="531" t="str">
        <f t="shared" si="35"/>
        <v/>
      </c>
      <c r="AW76" s="531" t="str">
        <f t="shared" si="15"/>
        <v/>
      </c>
      <c r="AX76" s="548" t="str">
        <f t="shared" si="36"/>
        <v/>
      </c>
      <c r="AY76" s="531" t="str">
        <f>IFERROR(VLOOKUP(K76,【参考】数式用!$AR$3:$AS$49, 2, FALSE), "")</f>
        <v/>
      </c>
      <c r="AZ76" s="548" t="str">
        <f t="shared" si="16"/>
        <v/>
      </c>
      <c r="BA76" s="551" t="str">
        <f t="shared" si="37"/>
        <v>入力済</v>
      </c>
      <c r="BB76" s="531" t="str">
        <f>IFERROR(VLOOKUP(K76,【参考】数式用!$AX$3:$AY$59, 2, FALSE), "")</f>
        <v/>
      </c>
      <c r="BC76" s="548" t="str">
        <f t="shared" si="17"/>
        <v/>
      </c>
      <c r="BD76" s="551" t="str">
        <f t="shared" si="38"/>
        <v>入力済</v>
      </c>
      <c r="BE76" s="551" t="str">
        <f t="shared" si="18"/>
        <v/>
      </c>
      <c r="BF76" s="551" t="str">
        <f t="shared" si="19"/>
        <v/>
      </c>
      <c r="BG76" s="551" t="str">
        <f t="shared" si="20"/>
        <v/>
      </c>
      <c r="BH76" s="551" t="str">
        <f t="shared" si="39"/>
        <v/>
      </c>
      <c r="BI76" s="551" t="str">
        <f t="shared" si="40"/>
        <v/>
      </c>
      <c r="BK76" s="27"/>
      <c r="BL76" s="587" t="str">
        <f t="shared" si="21"/>
        <v/>
      </c>
      <c r="BM76" s="587" t="str">
        <f t="shared" si="22"/>
        <v/>
      </c>
      <c r="BN76" s="587" t="str">
        <f t="shared" si="23"/>
        <v/>
      </c>
      <c r="BO76" s="588" t="str">
        <f>IF(BM76="","",ROUNDDOWN(L76*VLOOKUP(K76,【参考】数式用!$A$4:$J$42,10,FALSE)*AA76,0))</f>
        <v/>
      </c>
      <c r="BP76" s="587" t="str">
        <f t="shared" si="24"/>
        <v/>
      </c>
      <c r="BQ76" s="587" t="str">
        <f t="shared" si="25"/>
        <v/>
      </c>
      <c r="BR76" s="589" t="str">
        <f t="shared" si="26"/>
        <v/>
      </c>
      <c r="BS76" s="589" t="str">
        <f t="shared" si="27"/>
        <v/>
      </c>
      <c r="BT76" s="587" t="str">
        <f t="shared" si="28"/>
        <v/>
      </c>
      <c r="BU76" s="588" t="str">
        <f>IF(BT76="Ⅱロ有り",ROUNDDOWN(L76*VLOOKUP(K76,【参考】数式用!$A$4:$J$42,10,FALSE)*AA76,0),"")</f>
        <v/>
      </c>
      <c r="BV76" s="587" t="str">
        <f>IF(BT76="Ⅱロなし",ROUNDDOWN(L76*VLOOKUP(K76,【参考】数式用!$A$4:$J$42,8,FALSE)*AA76,0),"")</f>
        <v/>
      </c>
    </row>
    <row r="77" spans="1:74" ht="109.9" customHeight="1" thickBot="1">
      <c r="A77" s="303">
        <v>64</v>
      </c>
      <c r="B77" s="933" t="str">
        <f>IF(基本情報入力シート!B99="","",基本情報入力シート!B99)</f>
        <v/>
      </c>
      <c r="C77" s="934"/>
      <c r="D77" s="934"/>
      <c r="E77" s="934"/>
      <c r="F77" s="935"/>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49" t="str">
        <f>IF(基本情報入力シート!AF99=0, "",基本情報入力シート!AF99)</f>
        <v/>
      </c>
      <c r="M77" s="516" t="str">
        <f>IF('別紙様式2-2（個票（４、５月））'!M77="","",'別紙様式2-2（個票（４、５月））'!M77)</f>
        <v/>
      </c>
      <c r="N77" s="515" t="str">
        <f>IF('別紙様式2-2（個票（４、５月））'!N77="","",'別紙様式2-2（個票（４、５月））'!N77)</f>
        <v/>
      </c>
      <c r="O77" s="286"/>
      <c r="P77" s="546" t="str">
        <f>IFERROR(VLOOKUP(K77,【参考】数式用!$A$2:$M$57,MATCH(O77,【参考】数式用!$G$3:$M$3,0)+6,0),"")</f>
        <v/>
      </c>
      <c r="Q77" s="310" t="s">
        <v>118</v>
      </c>
      <c r="R77" s="308"/>
      <c r="S77" s="309" t="s">
        <v>183</v>
      </c>
      <c r="T77" s="308"/>
      <c r="U77" s="309" t="s">
        <v>184</v>
      </c>
      <c r="V77" s="308"/>
      <c r="W77" s="309" t="s">
        <v>183</v>
      </c>
      <c r="X77" s="308"/>
      <c r="Y77" s="309" t="s">
        <v>185</v>
      </c>
      <c r="Z77" s="309" t="s">
        <v>186</v>
      </c>
      <c r="AA77" s="309" t="str">
        <f t="shared" si="29"/>
        <v/>
      </c>
      <c r="AB77" s="305" t="s">
        <v>187</v>
      </c>
      <c r="AC77" s="306" t="str">
        <f t="shared" si="10"/>
        <v/>
      </c>
      <c r="AD77" s="507"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48" t="str">
        <f>IFERROR(VLOOKUP(K77,【参考】数式用!$A$2:$N$57,14,FALSE),"")</f>
        <v/>
      </c>
      <c r="AP77" s="548" t="str">
        <f t="shared" si="13"/>
        <v/>
      </c>
      <c r="AQ77" s="552" t="str">
        <f t="shared" ref="AQ77:AQ113" si="42">IF(AND(AE77&lt;&gt;0,AE77&lt;&gt;"",AO77="加算対象"),IF(AF77="○","入力済","未入力"),"")</f>
        <v/>
      </c>
      <c r="AR77" s="552" t="str">
        <f t="shared" si="30"/>
        <v>キャリアパス要件Ⅰ・Ⅱ_</v>
      </c>
      <c r="AS77" s="531" t="str">
        <f t="shared" ref="AS77:AS113" si="43">IF(AND(O77&lt;&gt;"", AG77=""), "未入力", "入力済")</f>
        <v>入力済</v>
      </c>
      <c r="AT77" s="548" t="str">
        <f t="shared" si="14"/>
        <v/>
      </c>
      <c r="AU77" s="531" t="str">
        <f t="shared" ref="AU77:AU113" si="44">IF(AND(O77&lt;&gt;"", O77&lt;&gt;"処遇改善加算Ⅳ",O77&lt;&gt;"処遇改善加算", AH77=""), "未入力", "入力済")</f>
        <v>入力済</v>
      </c>
      <c r="AV77" s="531" t="str">
        <f t="shared" ref="AV77:AV113" si="45">IF(OR(ISNUMBER(SEARCH("処遇改善加算Ⅰ",O77)),ISNUMBER(SEARCH("処遇改善加算Ⅱ",O77))),"対象","")</f>
        <v/>
      </c>
      <c r="AW77" s="531" t="str">
        <f t="shared" si="15"/>
        <v/>
      </c>
      <c r="AX77" s="548" t="str">
        <f t="shared" ref="AX77:AX108" si="46">IF(AND(AW77=1, OR(AI77=0,AI77=""),AO77="加算対象"),"AH列に色付け","")</f>
        <v/>
      </c>
      <c r="AY77" s="531" t="str">
        <f>IFERROR(VLOOKUP(K77,【参考】数式用!$AR$3:$AS$49, 2, FALSE), "")</f>
        <v/>
      </c>
      <c r="AZ77" s="548" t="str">
        <f t="shared" si="16"/>
        <v/>
      </c>
      <c r="BA77" s="551" t="str">
        <f t="shared" ref="BA77:BA113" si="47">IF(AND(OR(O77="処遇改善加算Ⅰイ",O77="処遇改善加算Ⅰロ"), AJ77=""), "未入力","入力済")</f>
        <v>入力済</v>
      </c>
      <c r="BB77" s="531" t="str">
        <f>IFERROR(VLOOKUP(K77,【参考】数式用!$AX$3:$AY$59, 2, FALSE), "")</f>
        <v/>
      </c>
      <c r="BC77" s="548" t="str">
        <f t="shared" si="17"/>
        <v/>
      </c>
      <c r="BD77" s="551" t="str">
        <f t="shared" ref="BD77:BD113" si="48">IF(AND(COUNTIF(AG77:AI77,"*令和８年度特例要件を*")&gt;0,AK77=""), "未入力","入力済")</f>
        <v>入力済</v>
      </c>
      <c r="BE77" s="551" t="str">
        <f t="shared" si="18"/>
        <v/>
      </c>
      <c r="BF77" s="551" t="str">
        <f t="shared" si="19"/>
        <v/>
      </c>
      <c r="BG77" s="551" t="str">
        <f t="shared" si="20"/>
        <v/>
      </c>
      <c r="BH77" s="551" t="str">
        <f t="shared" ref="BH77:BH108" si="49">IF(AND(BE77="",BG77="入力必要"),IF(AK77="","未入力","入力済"),"")</f>
        <v/>
      </c>
      <c r="BI77" s="551" t="str">
        <f t="shared" ref="BI77:BI113" si="50">G77</f>
        <v/>
      </c>
      <c r="BK77" s="27"/>
      <c r="BL77" s="587" t="str">
        <f t="shared" si="21"/>
        <v/>
      </c>
      <c r="BM77" s="587" t="str">
        <f t="shared" si="22"/>
        <v/>
      </c>
      <c r="BN77" s="587" t="str">
        <f t="shared" si="23"/>
        <v/>
      </c>
      <c r="BO77" s="588" t="str">
        <f>IF(BM77="","",ROUNDDOWN(L77*VLOOKUP(K77,【参考】数式用!$A$4:$J$42,10,FALSE)*AA77,0))</f>
        <v/>
      </c>
      <c r="BP77" s="587" t="str">
        <f t="shared" si="24"/>
        <v/>
      </c>
      <c r="BQ77" s="587" t="str">
        <f t="shared" si="25"/>
        <v/>
      </c>
      <c r="BR77" s="589" t="str">
        <f t="shared" si="26"/>
        <v/>
      </c>
      <c r="BS77" s="589" t="str">
        <f t="shared" si="27"/>
        <v/>
      </c>
      <c r="BT77" s="587" t="str">
        <f t="shared" si="28"/>
        <v/>
      </c>
      <c r="BU77" s="588" t="str">
        <f>IF(BT77="Ⅱロ有り",ROUNDDOWN(L77*VLOOKUP(K77,【参考】数式用!$A$4:$J$42,10,FALSE)*AA77,0),"")</f>
        <v/>
      </c>
      <c r="BV77" s="587" t="str">
        <f>IF(BT77="Ⅱロなし",ROUNDDOWN(L77*VLOOKUP(K77,【参考】数式用!$A$4:$J$42,8,FALSE)*AA77,0),"")</f>
        <v/>
      </c>
    </row>
    <row r="78" spans="1:74" ht="109.9" customHeight="1" thickBot="1">
      <c r="A78" s="303">
        <v>65</v>
      </c>
      <c r="B78" s="933" t="str">
        <f>IF(基本情報入力シート!B100="","",基本情報入力シート!B100)</f>
        <v/>
      </c>
      <c r="C78" s="934"/>
      <c r="D78" s="934"/>
      <c r="E78" s="934"/>
      <c r="F78" s="935"/>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49" t="str">
        <f>IF(基本情報入力シート!AF100=0, "",基本情報入力シート!AF100)</f>
        <v/>
      </c>
      <c r="M78" s="516" t="str">
        <f>IF('別紙様式2-2（個票（４、５月））'!M78="","",'別紙様式2-2（個票（４、５月））'!M78)</f>
        <v/>
      </c>
      <c r="N78" s="515" t="str">
        <f>IF('別紙様式2-2（個票（４、５月））'!N78="","",'別紙様式2-2（個票（４、５月））'!N78)</f>
        <v/>
      </c>
      <c r="O78" s="286"/>
      <c r="P78" s="546" t="str">
        <f>IFERROR(VLOOKUP(K78,【参考】数式用!$A$2:$M$57,MATCH(O78,【参考】数式用!$G$3:$M$3,0)+6,0),"")</f>
        <v/>
      </c>
      <c r="Q78" s="310" t="s">
        <v>118</v>
      </c>
      <c r="R78" s="308"/>
      <c r="S78" s="309" t="s">
        <v>183</v>
      </c>
      <c r="T78" s="308"/>
      <c r="U78" s="309" t="s">
        <v>184</v>
      </c>
      <c r="V78" s="308"/>
      <c r="W78" s="309" t="s">
        <v>183</v>
      </c>
      <c r="X78" s="308"/>
      <c r="Y78" s="309" t="s">
        <v>185</v>
      </c>
      <c r="Z78" s="309" t="s">
        <v>186</v>
      </c>
      <c r="AA78" s="309" t="str">
        <f t="shared" si="29"/>
        <v/>
      </c>
      <c r="AB78" s="305" t="s">
        <v>187</v>
      </c>
      <c r="AC78" s="306" t="str">
        <f t="shared" ref="AC78:AC113" si="51">IFERROR(ROUNDDOWN(ROUND(L78*P78,0),0)*AA78,"")</f>
        <v/>
      </c>
      <c r="AD78" s="507"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48" t="str">
        <f>IFERROR(VLOOKUP(K78,【参考】数式用!$A$2:$N$57,14,FALSE),"")</f>
        <v/>
      </c>
      <c r="AP78" s="548" t="str">
        <f t="shared" ref="AP78:AP114" si="54">IF(AND(K78&lt;&gt;""),"O列に色付け","")</f>
        <v/>
      </c>
      <c r="AQ78" s="552" t="str">
        <f t="shared" si="42"/>
        <v/>
      </c>
      <c r="AR78" s="552" t="str">
        <f t="shared" si="30"/>
        <v>キャリアパス要件Ⅰ・Ⅱ_</v>
      </c>
      <c r="AS78" s="531" t="str">
        <f t="shared" si="43"/>
        <v>入力済</v>
      </c>
      <c r="AT78" s="548" t="str">
        <f t="shared" ref="AT78:AT113" si="55">IF(AND(O78&lt;&gt;"", O78&lt;&gt;"処遇改善加算Ⅳ",AO78="加算対象"),"AH列に色付け","")</f>
        <v/>
      </c>
      <c r="AU78" s="531" t="str">
        <f t="shared" si="44"/>
        <v>入力済</v>
      </c>
      <c r="AV78" s="531" t="str">
        <f t="shared" si="45"/>
        <v/>
      </c>
      <c r="AW78" s="531" t="str">
        <f t="shared" ref="AW78:AW113" si="56">IF(AND(O78&lt;&gt;"", O78&lt;&gt;"処遇改善加算Ⅲ", O78&lt;&gt;"処遇改善加算Ⅳ",O78&lt;&gt;"処遇改善加算"),"対象", "")</f>
        <v/>
      </c>
      <c r="AX78" s="548" t="str">
        <f t="shared" si="46"/>
        <v/>
      </c>
      <c r="AY78" s="531" t="str">
        <f>IFERROR(VLOOKUP(K78,【参考】数式用!$AR$3:$AS$49, 2, FALSE), "")</f>
        <v/>
      </c>
      <c r="AZ78" s="548" t="str">
        <f t="shared" ref="AZ78:AZ113" si="57">IF(AND(AO78="加算対象",OR(O78="処遇改善加算Ⅰイ",O78="処遇改善加算Ⅰロ")),"AJ列に色付け","")</f>
        <v/>
      </c>
      <c r="BA78" s="551" t="str">
        <f t="shared" si="47"/>
        <v>入力済</v>
      </c>
      <c r="BB78" s="531" t="str">
        <f>IFERROR(VLOOKUP(K78,【参考】数式用!$AX$3:$AY$59, 2, FALSE), "")</f>
        <v/>
      </c>
      <c r="BC78" s="548" t="str">
        <f t="shared" ref="BC78:BC113" si="58">IF(OR(COUNTIF(AG78:AI78,"*令和８年度特例要件を*")&gt;0,ISNUMBER(SEARCH("処遇改善加算Ⅰロ",O78)),ISNUMBER(SEARCH("処遇改善加算Ⅱロ",O78)),AO78="加算対象外"),"AK列に色付け","")</f>
        <v/>
      </c>
      <c r="BD78" s="551" t="str">
        <f t="shared" si="48"/>
        <v>入力済</v>
      </c>
      <c r="BE78" s="551" t="str">
        <f t="shared" ref="BE78:BE113" si="59">IF(OR(ISNUMBER(SEARCH("処遇改善加算Ⅰロ",O78)),ISNUMBER(SEARCH("処遇改善加算Ⅱロ",O78))),"",IF(AND(BC78="AK列に色付け",OR(AG78="○",AG78="誓約"),AH78="○",AI78&gt;=1),"AK列色消し",""))</f>
        <v/>
      </c>
      <c r="BF78" s="551" t="str">
        <f t="shared" ref="BF78:BF113" si="60">IF(AND(O78="処遇改善加算",OR(AG78="○",AG78="誓約")),"AK列色消し","")</f>
        <v/>
      </c>
      <c r="BG78" s="551" t="str">
        <f t="shared" ref="BG78:BG113" si="61">IF(OR(TRIM(BC78)="",BE78="AK列色消し",BF78="AK列色消し"),"","入力必要")</f>
        <v/>
      </c>
      <c r="BH78" s="551" t="str">
        <f t="shared" si="49"/>
        <v/>
      </c>
      <c r="BI78" s="551" t="str">
        <f t="shared" si="50"/>
        <v/>
      </c>
      <c r="BK78" s="27"/>
      <c r="BL78" s="587" t="str">
        <f t="shared" ref="BL78:BL113" si="62">IF(AND(K78&lt;&gt;"",K78&lt;&gt;"計画相談支援",K78&lt;&gt;"地域相談支援（地域定着支援）",K78&lt;&gt;"地域相談支援（地域移行支援）",K78&lt;&gt;"障害児相談支援"),"O列に色付け","")</f>
        <v/>
      </c>
      <c r="BM78" s="587" t="str">
        <f t="shared" ref="BM78:BM114" si="63">IF(OR(O78="処遇改善加算Ⅰロ",O78="処遇改善加算Ⅱロ"),"対象","")</f>
        <v/>
      </c>
      <c r="BN78" s="587" t="str">
        <f t="shared" ref="BN78:BN114"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588" t="str">
        <f>IF(BM78="","",ROUNDDOWN(L78*VLOOKUP(K78,【参考】数式用!$A$4:$J$42,10,FALSE)*AA78,0))</f>
        <v/>
      </c>
      <c r="BP78" s="587" t="str">
        <f t="shared" ref="BP78:BP114" si="65">IF(BN78="特例",AC78,"")</f>
        <v/>
      </c>
      <c r="BQ78" s="587" t="str">
        <f t="shared" ref="BQ78:BQ113" si="66">IF(O78="処遇改善加算","対象","")</f>
        <v/>
      </c>
      <c r="BR78" s="589" t="str">
        <f t="shared" ref="BR78:BR113" si="67">IF(BQ78="","",IF(OR(AG78="○",AG78="誓約"),"対象",""))</f>
        <v/>
      </c>
      <c r="BS78" s="589" t="str">
        <f t="shared" ref="BS78:BS114" si="68">IF(BM78="対象","",IF(COUNTIF(AF78:AH78,"*令和８年度特例要件を*")&gt;0,"特例要件",""))</f>
        <v/>
      </c>
      <c r="BT78" s="587" t="str">
        <f t="shared" ref="BT78:BT114"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588" t="str">
        <f>IF(BT78="Ⅱロ有り",ROUNDDOWN(L78*VLOOKUP(K78,【参考】数式用!$A$4:$J$42,10,FALSE)*AA78,0),"")</f>
        <v/>
      </c>
      <c r="BV78" s="587" t="str">
        <f>IF(BT78="Ⅱロなし",ROUNDDOWN(L78*VLOOKUP(K78,【参考】数式用!$A$4:$J$42,8,FALSE)*AA78,0),"")</f>
        <v/>
      </c>
    </row>
    <row r="79" spans="1:74" ht="109.9" customHeight="1" thickBot="1">
      <c r="A79" s="303">
        <v>66</v>
      </c>
      <c r="B79" s="933" t="str">
        <f>IF(基本情報入力シート!B101="","",基本情報入力シート!B101)</f>
        <v/>
      </c>
      <c r="C79" s="934"/>
      <c r="D79" s="934"/>
      <c r="E79" s="934"/>
      <c r="F79" s="935"/>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49" t="str">
        <f>IF(基本情報入力シート!AF101=0, "",基本情報入力シート!AF101)</f>
        <v/>
      </c>
      <c r="M79" s="516" t="str">
        <f>IF('別紙様式2-2（個票（４、５月））'!M79="","",'別紙様式2-2（個票（４、５月））'!M79)</f>
        <v/>
      </c>
      <c r="N79" s="515" t="str">
        <f>IF('別紙様式2-2（個票（４、５月））'!N79="","",'別紙様式2-2（個票（４、５月））'!N79)</f>
        <v/>
      </c>
      <c r="O79" s="286"/>
      <c r="P79" s="546" t="str">
        <f>IFERROR(VLOOKUP(K79,【参考】数式用!$A$2:$M$57,MATCH(O79,【参考】数式用!$G$3:$M$3,0)+6,0),"")</f>
        <v/>
      </c>
      <c r="Q79" s="310" t="s">
        <v>118</v>
      </c>
      <c r="R79" s="308"/>
      <c r="S79" s="309" t="s">
        <v>183</v>
      </c>
      <c r="T79" s="308"/>
      <c r="U79" s="309" t="s">
        <v>184</v>
      </c>
      <c r="V79" s="308"/>
      <c r="W79" s="309" t="s">
        <v>183</v>
      </c>
      <c r="X79" s="308"/>
      <c r="Y79" s="309" t="s">
        <v>185</v>
      </c>
      <c r="Z79" s="309" t="s">
        <v>186</v>
      </c>
      <c r="AA79" s="309" t="str">
        <f t="shared" si="29"/>
        <v/>
      </c>
      <c r="AB79" s="305" t="s">
        <v>187</v>
      </c>
      <c r="AC79" s="306" t="str">
        <f t="shared" si="51"/>
        <v/>
      </c>
      <c r="AD79" s="507"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48" t="str">
        <f>IFERROR(VLOOKUP(K79,【参考】数式用!$A$2:$N$57,14,FALSE),"")</f>
        <v/>
      </c>
      <c r="AP79" s="548" t="str">
        <f t="shared" si="54"/>
        <v/>
      </c>
      <c r="AQ79" s="552" t="str">
        <f t="shared" si="42"/>
        <v/>
      </c>
      <c r="AR79" s="552" t="str">
        <f t="shared" ref="AR79:AR113" si="70">"キャリアパス要件Ⅰ・Ⅱ_"&amp;AO79</f>
        <v>キャリアパス要件Ⅰ・Ⅱ_</v>
      </c>
      <c r="AS79" s="531" t="str">
        <f t="shared" si="43"/>
        <v>入力済</v>
      </c>
      <c r="AT79" s="548" t="str">
        <f t="shared" si="55"/>
        <v/>
      </c>
      <c r="AU79" s="531" t="str">
        <f t="shared" si="44"/>
        <v>入力済</v>
      </c>
      <c r="AV79" s="531" t="str">
        <f t="shared" si="45"/>
        <v/>
      </c>
      <c r="AW79" s="531" t="str">
        <f t="shared" si="56"/>
        <v/>
      </c>
      <c r="AX79" s="548" t="str">
        <f t="shared" si="46"/>
        <v/>
      </c>
      <c r="AY79" s="531" t="str">
        <f>IFERROR(VLOOKUP(K79,【参考】数式用!$AR$3:$AS$49, 2, FALSE), "")</f>
        <v/>
      </c>
      <c r="AZ79" s="548" t="str">
        <f t="shared" si="57"/>
        <v/>
      </c>
      <c r="BA79" s="551" t="str">
        <f t="shared" si="47"/>
        <v>入力済</v>
      </c>
      <c r="BB79" s="531" t="str">
        <f>IFERROR(VLOOKUP(K79,【参考】数式用!$AX$3:$AY$59, 2, FALSE), "")</f>
        <v/>
      </c>
      <c r="BC79" s="548" t="str">
        <f t="shared" si="58"/>
        <v/>
      </c>
      <c r="BD79" s="551" t="str">
        <f t="shared" si="48"/>
        <v>入力済</v>
      </c>
      <c r="BE79" s="551" t="str">
        <f t="shared" si="59"/>
        <v/>
      </c>
      <c r="BF79" s="551" t="str">
        <f t="shared" si="60"/>
        <v/>
      </c>
      <c r="BG79" s="551" t="str">
        <f t="shared" si="61"/>
        <v/>
      </c>
      <c r="BH79" s="551" t="str">
        <f t="shared" si="49"/>
        <v/>
      </c>
      <c r="BI79" s="551" t="str">
        <f t="shared" si="50"/>
        <v/>
      </c>
      <c r="BK79" s="27"/>
      <c r="BL79" s="587" t="str">
        <f t="shared" si="62"/>
        <v/>
      </c>
      <c r="BM79" s="587" t="str">
        <f t="shared" si="63"/>
        <v/>
      </c>
      <c r="BN79" s="587" t="str">
        <f t="shared" si="64"/>
        <v/>
      </c>
      <c r="BO79" s="588" t="str">
        <f>IF(BM79="","",ROUNDDOWN(L79*VLOOKUP(K79,【参考】数式用!$A$4:$J$42,10,FALSE)*AA79,0))</f>
        <v/>
      </c>
      <c r="BP79" s="587" t="str">
        <f t="shared" si="65"/>
        <v/>
      </c>
      <c r="BQ79" s="587" t="str">
        <f t="shared" si="66"/>
        <v/>
      </c>
      <c r="BR79" s="589" t="str">
        <f t="shared" si="67"/>
        <v/>
      </c>
      <c r="BS79" s="589" t="str">
        <f t="shared" si="68"/>
        <v/>
      </c>
      <c r="BT79" s="587" t="str">
        <f t="shared" si="69"/>
        <v/>
      </c>
      <c r="BU79" s="588" t="str">
        <f>IF(BT79="Ⅱロ有り",ROUNDDOWN(L79*VLOOKUP(K79,【参考】数式用!$A$4:$J$42,10,FALSE)*AA79,0),"")</f>
        <v/>
      </c>
      <c r="BV79" s="587" t="str">
        <f>IF(BT79="Ⅱロなし",ROUNDDOWN(L79*VLOOKUP(K79,【参考】数式用!$A$4:$J$42,8,FALSE)*AA79,0),"")</f>
        <v/>
      </c>
    </row>
    <row r="80" spans="1:74" ht="109.9" customHeight="1" thickBot="1">
      <c r="A80" s="303">
        <v>67</v>
      </c>
      <c r="B80" s="933" t="str">
        <f>IF(基本情報入力シート!B102="","",基本情報入力シート!B102)</f>
        <v/>
      </c>
      <c r="C80" s="934"/>
      <c r="D80" s="934"/>
      <c r="E80" s="934"/>
      <c r="F80" s="935"/>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49" t="str">
        <f>IF(基本情報入力シート!AF102=0, "",基本情報入力シート!AF102)</f>
        <v/>
      </c>
      <c r="M80" s="516" t="str">
        <f>IF('別紙様式2-2（個票（４、５月））'!M80="","",'別紙様式2-2（個票（４、５月））'!M80)</f>
        <v/>
      </c>
      <c r="N80" s="515" t="str">
        <f>IF('別紙様式2-2（個票（４、５月））'!N80="","",'別紙様式2-2（個票（４、５月））'!N80)</f>
        <v/>
      </c>
      <c r="O80" s="286"/>
      <c r="P80" s="546" t="str">
        <f>IFERROR(VLOOKUP(K80,【参考】数式用!$A$2:$M$57,MATCH(O80,【参考】数式用!$G$3:$M$3,0)+6,0),"")</f>
        <v/>
      </c>
      <c r="Q80" s="310" t="s">
        <v>118</v>
      </c>
      <c r="R80" s="308"/>
      <c r="S80" s="309" t="s">
        <v>183</v>
      </c>
      <c r="T80" s="308"/>
      <c r="U80" s="309" t="s">
        <v>184</v>
      </c>
      <c r="V80" s="308"/>
      <c r="W80" s="309" t="s">
        <v>183</v>
      </c>
      <c r="X80" s="308"/>
      <c r="Y80" s="309" t="s">
        <v>120</v>
      </c>
      <c r="Z80" s="309" t="s">
        <v>186</v>
      </c>
      <c r="AA80" s="309" t="str">
        <f t="shared" ref="AA80:AA113" si="71">IF(R80&gt;=1,(V80*12+X80)-(R80*12+T80)+1,"")</f>
        <v/>
      </c>
      <c r="AB80" s="305" t="s">
        <v>187</v>
      </c>
      <c r="AC80" s="306" t="str">
        <f t="shared" si="51"/>
        <v/>
      </c>
      <c r="AD80" s="507"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48" t="str">
        <f>IFERROR(VLOOKUP(K80,【参考】数式用!$A$2:$N$57,14,FALSE),"")</f>
        <v/>
      </c>
      <c r="AP80" s="548" t="str">
        <f t="shared" si="54"/>
        <v/>
      </c>
      <c r="AQ80" s="552" t="str">
        <f t="shared" si="42"/>
        <v/>
      </c>
      <c r="AR80" s="552" t="str">
        <f t="shared" si="70"/>
        <v>キャリアパス要件Ⅰ・Ⅱ_</v>
      </c>
      <c r="AS80" s="531" t="str">
        <f t="shared" si="43"/>
        <v>入力済</v>
      </c>
      <c r="AT80" s="548" t="str">
        <f t="shared" si="55"/>
        <v/>
      </c>
      <c r="AU80" s="531" t="str">
        <f t="shared" si="44"/>
        <v>入力済</v>
      </c>
      <c r="AV80" s="531" t="str">
        <f t="shared" si="45"/>
        <v/>
      </c>
      <c r="AW80" s="531" t="str">
        <f t="shared" si="56"/>
        <v/>
      </c>
      <c r="AX80" s="548" t="str">
        <f t="shared" si="46"/>
        <v/>
      </c>
      <c r="AY80" s="531" t="str">
        <f>IFERROR(VLOOKUP(K80,【参考】数式用!$AR$3:$AS$49, 2, FALSE), "")</f>
        <v/>
      </c>
      <c r="AZ80" s="548" t="str">
        <f t="shared" si="57"/>
        <v/>
      </c>
      <c r="BA80" s="551" t="str">
        <f t="shared" si="47"/>
        <v>入力済</v>
      </c>
      <c r="BB80" s="531" t="str">
        <f>IFERROR(VLOOKUP(K80,【参考】数式用!$AX$3:$AY$59, 2, FALSE), "")</f>
        <v/>
      </c>
      <c r="BC80" s="548" t="str">
        <f t="shared" si="58"/>
        <v/>
      </c>
      <c r="BD80" s="551" t="str">
        <f t="shared" si="48"/>
        <v>入力済</v>
      </c>
      <c r="BE80" s="551" t="str">
        <f t="shared" si="59"/>
        <v/>
      </c>
      <c r="BF80" s="551" t="str">
        <f t="shared" si="60"/>
        <v/>
      </c>
      <c r="BG80" s="551" t="str">
        <f t="shared" si="61"/>
        <v/>
      </c>
      <c r="BH80" s="551" t="str">
        <f t="shared" si="49"/>
        <v/>
      </c>
      <c r="BI80" s="551" t="str">
        <f t="shared" si="50"/>
        <v/>
      </c>
      <c r="BK80" s="27"/>
      <c r="BL80" s="587" t="str">
        <f t="shared" si="62"/>
        <v/>
      </c>
      <c r="BM80" s="587" t="str">
        <f t="shared" si="63"/>
        <v/>
      </c>
      <c r="BN80" s="587" t="str">
        <f t="shared" si="64"/>
        <v/>
      </c>
      <c r="BO80" s="588" t="str">
        <f>IF(BM80="","",ROUNDDOWN(L80*VLOOKUP(K80,【参考】数式用!$A$4:$J$42,10,FALSE)*AA80,0))</f>
        <v/>
      </c>
      <c r="BP80" s="587" t="str">
        <f t="shared" si="65"/>
        <v/>
      </c>
      <c r="BQ80" s="587" t="str">
        <f t="shared" si="66"/>
        <v/>
      </c>
      <c r="BR80" s="589" t="str">
        <f t="shared" si="67"/>
        <v/>
      </c>
      <c r="BS80" s="589" t="str">
        <f t="shared" si="68"/>
        <v/>
      </c>
      <c r="BT80" s="587" t="str">
        <f t="shared" si="69"/>
        <v/>
      </c>
      <c r="BU80" s="588" t="str">
        <f>IF(BT80="Ⅱロ有り",ROUNDDOWN(L80*VLOOKUP(K80,【参考】数式用!$A$4:$J$42,10,FALSE)*AA80,0),"")</f>
        <v/>
      </c>
      <c r="BV80" s="587" t="str">
        <f>IF(BT80="Ⅱロなし",ROUNDDOWN(L80*VLOOKUP(K80,【参考】数式用!$A$4:$J$42,8,FALSE)*AA80,0),"")</f>
        <v/>
      </c>
    </row>
    <row r="81" spans="1:74" ht="109.9" customHeight="1" thickBot="1">
      <c r="A81" s="303">
        <v>68</v>
      </c>
      <c r="B81" s="933" t="str">
        <f>IF(基本情報入力シート!B103="","",基本情報入力シート!B103)</f>
        <v/>
      </c>
      <c r="C81" s="934"/>
      <c r="D81" s="934"/>
      <c r="E81" s="934"/>
      <c r="F81" s="935"/>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49" t="str">
        <f>IF(基本情報入力シート!AF103=0, "",基本情報入力シート!AF103)</f>
        <v/>
      </c>
      <c r="M81" s="516" t="str">
        <f>IF('別紙様式2-2（個票（４、５月））'!M81="","",'別紙様式2-2（個票（４、５月））'!M81)</f>
        <v/>
      </c>
      <c r="N81" s="515" t="str">
        <f>IF('別紙様式2-2（個票（４、５月））'!N81="","",'別紙様式2-2（個票（４、５月））'!N81)</f>
        <v/>
      </c>
      <c r="O81" s="286"/>
      <c r="P81" s="546" t="str">
        <f>IFERROR(VLOOKUP(K81,【参考】数式用!$A$2:$M$57,MATCH(O81,【参考】数式用!$G$3:$M$3,0)+6,0),"")</f>
        <v/>
      </c>
      <c r="Q81" s="310" t="s">
        <v>118</v>
      </c>
      <c r="R81" s="308"/>
      <c r="S81" s="309" t="s">
        <v>183</v>
      </c>
      <c r="T81" s="308"/>
      <c r="U81" s="309" t="s">
        <v>184</v>
      </c>
      <c r="V81" s="308"/>
      <c r="W81" s="309" t="s">
        <v>183</v>
      </c>
      <c r="X81" s="308"/>
      <c r="Y81" s="309" t="s">
        <v>120</v>
      </c>
      <c r="Z81" s="309" t="s">
        <v>186</v>
      </c>
      <c r="AA81" s="309" t="str">
        <f t="shared" si="71"/>
        <v/>
      </c>
      <c r="AB81" s="305" t="s">
        <v>187</v>
      </c>
      <c r="AC81" s="306" t="str">
        <f t="shared" si="51"/>
        <v/>
      </c>
      <c r="AD81" s="507"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48" t="str">
        <f>IFERROR(VLOOKUP(K81,【参考】数式用!$A$2:$N$57,14,FALSE),"")</f>
        <v/>
      </c>
      <c r="AP81" s="548" t="str">
        <f t="shared" si="54"/>
        <v/>
      </c>
      <c r="AQ81" s="552" t="str">
        <f t="shared" si="42"/>
        <v/>
      </c>
      <c r="AR81" s="552" t="str">
        <f t="shared" si="70"/>
        <v>キャリアパス要件Ⅰ・Ⅱ_</v>
      </c>
      <c r="AS81" s="531" t="str">
        <f t="shared" si="43"/>
        <v>入力済</v>
      </c>
      <c r="AT81" s="548" t="str">
        <f t="shared" si="55"/>
        <v/>
      </c>
      <c r="AU81" s="531" t="str">
        <f t="shared" si="44"/>
        <v>入力済</v>
      </c>
      <c r="AV81" s="531" t="str">
        <f t="shared" si="45"/>
        <v/>
      </c>
      <c r="AW81" s="531" t="str">
        <f t="shared" si="56"/>
        <v/>
      </c>
      <c r="AX81" s="548" t="str">
        <f t="shared" si="46"/>
        <v/>
      </c>
      <c r="AY81" s="531" t="str">
        <f>IFERROR(VLOOKUP(K81,【参考】数式用!$AR$3:$AS$49, 2, FALSE), "")</f>
        <v/>
      </c>
      <c r="AZ81" s="548" t="str">
        <f t="shared" si="57"/>
        <v/>
      </c>
      <c r="BA81" s="551" t="str">
        <f t="shared" si="47"/>
        <v>入力済</v>
      </c>
      <c r="BB81" s="531" t="str">
        <f>IFERROR(VLOOKUP(K81,【参考】数式用!$AX$3:$AY$59, 2, FALSE), "")</f>
        <v/>
      </c>
      <c r="BC81" s="548" t="str">
        <f t="shared" si="58"/>
        <v/>
      </c>
      <c r="BD81" s="551" t="str">
        <f t="shared" si="48"/>
        <v>入力済</v>
      </c>
      <c r="BE81" s="551" t="str">
        <f t="shared" si="59"/>
        <v/>
      </c>
      <c r="BF81" s="551" t="str">
        <f t="shared" si="60"/>
        <v/>
      </c>
      <c r="BG81" s="551" t="str">
        <f t="shared" si="61"/>
        <v/>
      </c>
      <c r="BH81" s="551" t="str">
        <f t="shared" si="49"/>
        <v/>
      </c>
      <c r="BI81" s="551" t="str">
        <f t="shared" si="50"/>
        <v/>
      </c>
      <c r="BK81" s="27"/>
      <c r="BL81" s="587" t="str">
        <f t="shared" si="62"/>
        <v/>
      </c>
      <c r="BM81" s="587" t="str">
        <f t="shared" si="63"/>
        <v/>
      </c>
      <c r="BN81" s="587" t="str">
        <f t="shared" si="64"/>
        <v/>
      </c>
      <c r="BO81" s="588" t="str">
        <f>IF(BM81="","",ROUNDDOWN(L81*VLOOKUP(K81,【参考】数式用!$A$4:$J$42,10,FALSE)*AA81,0))</f>
        <v/>
      </c>
      <c r="BP81" s="587" t="str">
        <f t="shared" si="65"/>
        <v/>
      </c>
      <c r="BQ81" s="587" t="str">
        <f t="shared" si="66"/>
        <v/>
      </c>
      <c r="BR81" s="589" t="str">
        <f t="shared" si="67"/>
        <v/>
      </c>
      <c r="BS81" s="589" t="str">
        <f t="shared" si="68"/>
        <v/>
      </c>
      <c r="BT81" s="587" t="str">
        <f t="shared" si="69"/>
        <v/>
      </c>
      <c r="BU81" s="588" t="str">
        <f>IF(BT81="Ⅱロ有り",ROUNDDOWN(L81*VLOOKUP(K81,【参考】数式用!$A$4:$J$42,10,FALSE)*AA81,0),"")</f>
        <v/>
      </c>
      <c r="BV81" s="587" t="str">
        <f>IF(BT81="Ⅱロなし",ROUNDDOWN(L81*VLOOKUP(K81,【参考】数式用!$A$4:$J$42,8,FALSE)*AA81,0),"")</f>
        <v/>
      </c>
    </row>
    <row r="82" spans="1:74" ht="109.9" customHeight="1" thickBot="1">
      <c r="A82" s="303">
        <v>69</v>
      </c>
      <c r="B82" s="933" t="str">
        <f>IF(基本情報入力シート!B104="","",基本情報入力シート!B104)</f>
        <v/>
      </c>
      <c r="C82" s="934"/>
      <c r="D82" s="934"/>
      <c r="E82" s="934"/>
      <c r="F82" s="935"/>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49" t="str">
        <f>IF(基本情報入力シート!AF104=0, "",基本情報入力シート!AF104)</f>
        <v/>
      </c>
      <c r="M82" s="516" t="str">
        <f>IF('別紙様式2-2（個票（４、５月））'!M82="","",'別紙様式2-2（個票（４、５月））'!M82)</f>
        <v/>
      </c>
      <c r="N82" s="515" t="str">
        <f>IF('別紙様式2-2（個票（４、５月））'!N82="","",'別紙様式2-2（個票（４、５月））'!N82)</f>
        <v/>
      </c>
      <c r="O82" s="286"/>
      <c r="P82" s="546" t="str">
        <f>IFERROR(VLOOKUP(K82,【参考】数式用!$A$2:$M$57,MATCH(O82,【参考】数式用!$G$3:$M$3,0)+6,0),"")</f>
        <v/>
      </c>
      <c r="Q82" s="310" t="s">
        <v>118</v>
      </c>
      <c r="R82" s="308"/>
      <c r="S82" s="309" t="s">
        <v>183</v>
      </c>
      <c r="T82" s="308"/>
      <c r="U82" s="309" t="s">
        <v>184</v>
      </c>
      <c r="V82" s="308"/>
      <c r="W82" s="309" t="s">
        <v>183</v>
      </c>
      <c r="X82" s="308"/>
      <c r="Y82" s="309" t="s">
        <v>185</v>
      </c>
      <c r="Z82" s="309" t="s">
        <v>186</v>
      </c>
      <c r="AA82" s="309" t="str">
        <f t="shared" si="71"/>
        <v/>
      </c>
      <c r="AB82" s="305" t="s">
        <v>187</v>
      </c>
      <c r="AC82" s="306" t="str">
        <f t="shared" si="51"/>
        <v/>
      </c>
      <c r="AD82" s="507"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48" t="str">
        <f>IFERROR(VLOOKUP(K82,【参考】数式用!$A$2:$N$57,14,FALSE),"")</f>
        <v/>
      </c>
      <c r="AP82" s="548" t="str">
        <f t="shared" si="54"/>
        <v/>
      </c>
      <c r="AQ82" s="552" t="str">
        <f t="shared" si="42"/>
        <v/>
      </c>
      <c r="AR82" s="552" t="str">
        <f t="shared" si="70"/>
        <v>キャリアパス要件Ⅰ・Ⅱ_</v>
      </c>
      <c r="AS82" s="531" t="str">
        <f t="shared" si="43"/>
        <v>入力済</v>
      </c>
      <c r="AT82" s="548" t="str">
        <f t="shared" si="55"/>
        <v/>
      </c>
      <c r="AU82" s="531" t="str">
        <f t="shared" si="44"/>
        <v>入力済</v>
      </c>
      <c r="AV82" s="531" t="str">
        <f t="shared" si="45"/>
        <v/>
      </c>
      <c r="AW82" s="531" t="str">
        <f t="shared" si="56"/>
        <v/>
      </c>
      <c r="AX82" s="548" t="str">
        <f t="shared" si="46"/>
        <v/>
      </c>
      <c r="AY82" s="531" t="str">
        <f>IFERROR(VLOOKUP(K82,【参考】数式用!$AR$3:$AS$49, 2, FALSE), "")</f>
        <v/>
      </c>
      <c r="AZ82" s="548" t="str">
        <f t="shared" si="57"/>
        <v/>
      </c>
      <c r="BA82" s="551" t="str">
        <f t="shared" si="47"/>
        <v>入力済</v>
      </c>
      <c r="BB82" s="531" t="str">
        <f>IFERROR(VLOOKUP(K82,【参考】数式用!$AX$3:$AY$59, 2, FALSE), "")</f>
        <v/>
      </c>
      <c r="BC82" s="548" t="str">
        <f t="shared" si="58"/>
        <v/>
      </c>
      <c r="BD82" s="551" t="str">
        <f t="shared" si="48"/>
        <v>入力済</v>
      </c>
      <c r="BE82" s="551" t="str">
        <f t="shared" si="59"/>
        <v/>
      </c>
      <c r="BF82" s="551" t="str">
        <f t="shared" si="60"/>
        <v/>
      </c>
      <c r="BG82" s="551" t="str">
        <f t="shared" si="61"/>
        <v/>
      </c>
      <c r="BH82" s="551" t="str">
        <f t="shared" si="49"/>
        <v/>
      </c>
      <c r="BI82" s="551" t="str">
        <f t="shared" si="50"/>
        <v/>
      </c>
      <c r="BK82" s="27"/>
      <c r="BL82" s="587" t="str">
        <f t="shared" si="62"/>
        <v/>
      </c>
      <c r="BM82" s="587" t="str">
        <f t="shared" si="63"/>
        <v/>
      </c>
      <c r="BN82" s="587" t="str">
        <f t="shared" si="64"/>
        <v/>
      </c>
      <c r="BO82" s="588" t="str">
        <f>IF(BM82="","",ROUNDDOWN(L82*VLOOKUP(K82,【参考】数式用!$A$4:$J$42,10,FALSE)*AA82,0))</f>
        <v/>
      </c>
      <c r="BP82" s="587" t="str">
        <f t="shared" si="65"/>
        <v/>
      </c>
      <c r="BQ82" s="587" t="str">
        <f t="shared" si="66"/>
        <v/>
      </c>
      <c r="BR82" s="589" t="str">
        <f t="shared" si="67"/>
        <v/>
      </c>
      <c r="BS82" s="589" t="str">
        <f t="shared" si="68"/>
        <v/>
      </c>
      <c r="BT82" s="587" t="str">
        <f t="shared" si="69"/>
        <v/>
      </c>
      <c r="BU82" s="588" t="str">
        <f>IF(BT82="Ⅱロ有り",ROUNDDOWN(L82*VLOOKUP(K82,【参考】数式用!$A$4:$J$42,10,FALSE)*AA82,0),"")</f>
        <v/>
      </c>
      <c r="BV82" s="587" t="str">
        <f>IF(BT82="Ⅱロなし",ROUNDDOWN(L82*VLOOKUP(K82,【参考】数式用!$A$4:$J$42,8,FALSE)*AA82,0),"")</f>
        <v/>
      </c>
    </row>
    <row r="83" spans="1:74" ht="109.9" customHeight="1" thickBot="1">
      <c r="A83" s="303">
        <v>70</v>
      </c>
      <c r="B83" s="933" t="str">
        <f>IF(基本情報入力シート!B105="","",基本情報入力シート!B105)</f>
        <v/>
      </c>
      <c r="C83" s="934"/>
      <c r="D83" s="934"/>
      <c r="E83" s="934"/>
      <c r="F83" s="935"/>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49" t="str">
        <f>IF(基本情報入力シート!AF105=0, "",基本情報入力シート!AF105)</f>
        <v/>
      </c>
      <c r="M83" s="516" t="str">
        <f>IF('別紙様式2-2（個票（４、５月））'!M83="","",'別紙様式2-2（個票（４、５月））'!M83)</f>
        <v/>
      </c>
      <c r="N83" s="515" t="str">
        <f>IF('別紙様式2-2（個票（４、５月））'!N83="","",'別紙様式2-2（個票（４、５月））'!N83)</f>
        <v/>
      </c>
      <c r="O83" s="286"/>
      <c r="P83" s="546" t="str">
        <f>IFERROR(VLOOKUP(K83,【参考】数式用!$A$2:$M$57,MATCH(O83,【参考】数式用!$G$3:$M$3,0)+6,0),"")</f>
        <v/>
      </c>
      <c r="Q83" s="310" t="s">
        <v>118</v>
      </c>
      <c r="R83" s="308"/>
      <c r="S83" s="309" t="s">
        <v>183</v>
      </c>
      <c r="T83" s="308"/>
      <c r="U83" s="309" t="s">
        <v>184</v>
      </c>
      <c r="V83" s="308"/>
      <c r="W83" s="309" t="s">
        <v>183</v>
      </c>
      <c r="X83" s="308"/>
      <c r="Y83" s="309" t="s">
        <v>185</v>
      </c>
      <c r="Z83" s="309" t="s">
        <v>186</v>
      </c>
      <c r="AA83" s="309" t="str">
        <f t="shared" si="71"/>
        <v/>
      </c>
      <c r="AB83" s="305" t="s">
        <v>187</v>
      </c>
      <c r="AC83" s="306" t="str">
        <f t="shared" si="51"/>
        <v/>
      </c>
      <c r="AD83" s="507"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48" t="str">
        <f>IFERROR(VLOOKUP(K83,【参考】数式用!$A$2:$N$57,14,FALSE),"")</f>
        <v/>
      </c>
      <c r="AP83" s="548" t="str">
        <f t="shared" si="54"/>
        <v/>
      </c>
      <c r="AQ83" s="552" t="str">
        <f t="shared" si="42"/>
        <v/>
      </c>
      <c r="AR83" s="552" t="str">
        <f t="shared" si="70"/>
        <v>キャリアパス要件Ⅰ・Ⅱ_</v>
      </c>
      <c r="AS83" s="531" t="str">
        <f t="shared" si="43"/>
        <v>入力済</v>
      </c>
      <c r="AT83" s="548" t="str">
        <f t="shared" si="55"/>
        <v/>
      </c>
      <c r="AU83" s="531" t="str">
        <f t="shared" si="44"/>
        <v>入力済</v>
      </c>
      <c r="AV83" s="531" t="str">
        <f t="shared" si="45"/>
        <v/>
      </c>
      <c r="AW83" s="531" t="str">
        <f t="shared" si="56"/>
        <v/>
      </c>
      <c r="AX83" s="548" t="str">
        <f t="shared" si="46"/>
        <v/>
      </c>
      <c r="AY83" s="531" t="str">
        <f>IFERROR(VLOOKUP(K83,【参考】数式用!$AR$3:$AS$49, 2, FALSE), "")</f>
        <v/>
      </c>
      <c r="AZ83" s="548" t="str">
        <f t="shared" si="57"/>
        <v/>
      </c>
      <c r="BA83" s="551" t="str">
        <f t="shared" si="47"/>
        <v>入力済</v>
      </c>
      <c r="BB83" s="531" t="str">
        <f>IFERROR(VLOOKUP(K83,【参考】数式用!$AX$3:$AY$59, 2, FALSE), "")</f>
        <v/>
      </c>
      <c r="BC83" s="548" t="str">
        <f t="shared" si="58"/>
        <v/>
      </c>
      <c r="BD83" s="551" t="str">
        <f t="shared" si="48"/>
        <v>入力済</v>
      </c>
      <c r="BE83" s="551" t="str">
        <f t="shared" si="59"/>
        <v/>
      </c>
      <c r="BF83" s="551" t="str">
        <f t="shared" si="60"/>
        <v/>
      </c>
      <c r="BG83" s="551" t="str">
        <f t="shared" si="61"/>
        <v/>
      </c>
      <c r="BH83" s="551" t="str">
        <f t="shared" si="49"/>
        <v/>
      </c>
      <c r="BI83" s="551" t="str">
        <f t="shared" si="50"/>
        <v/>
      </c>
      <c r="BK83" s="27"/>
      <c r="BL83" s="587" t="str">
        <f t="shared" si="62"/>
        <v/>
      </c>
      <c r="BM83" s="587" t="str">
        <f t="shared" si="63"/>
        <v/>
      </c>
      <c r="BN83" s="587" t="str">
        <f t="shared" si="64"/>
        <v/>
      </c>
      <c r="BO83" s="588" t="str">
        <f>IF(BM83="","",ROUNDDOWN(L83*VLOOKUP(K83,【参考】数式用!$A$4:$J$42,10,FALSE)*AA83,0))</f>
        <v/>
      </c>
      <c r="BP83" s="587" t="str">
        <f t="shared" si="65"/>
        <v/>
      </c>
      <c r="BQ83" s="587" t="str">
        <f t="shared" si="66"/>
        <v/>
      </c>
      <c r="BR83" s="589" t="str">
        <f t="shared" si="67"/>
        <v/>
      </c>
      <c r="BS83" s="589" t="str">
        <f t="shared" si="68"/>
        <v/>
      </c>
      <c r="BT83" s="587" t="str">
        <f t="shared" si="69"/>
        <v/>
      </c>
      <c r="BU83" s="588" t="str">
        <f>IF(BT83="Ⅱロ有り",ROUNDDOWN(L83*VLOOKUP(K83,【参考】数式用!$A$4:$J$42,10,FALSE)*AA83,0),"")</f>
        <v/>
      </c>
      <c r="BV83" s="587" t="str">
        <f>IF(BT83="Ⅱロなし",ROUNDDOWN(L83*VLOOKUP(K83,【参考】数式用!$A$4:$J$42,8,FALSE)*AA83,0),"")</f>
        <v/>
      </c>
    </row>
    <row r="84" spans="1:74" ht="109.9" customHeight="1" thickBot="1">
      <c r="A84" s="303">
        <v>71</v>
      </c>
      <c r="B84" s="933" t="str">
        <f>IF(基本情報入力シート!B106="","",基本情報入力シート!B106)</f>
        <v/>
      </c>
      <c r="C84" s="934"/>
      <c r="D84" s="934"/>
      <c r="E84" s="934"/>
      <c r="F84" s="935"/>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49" t="str">
        <f>IF(基本情報入力シート!AF106=0, "",基本情報入力シート!AF106)</f>
        <v/>
      </c>
      <c r="M84" s="516" t="str">
        <f>IF('別紙様式2-2（個票（４、５月））'!M84="","",'別紙様式2-2（個票（４、５月））'!M84)</f>
        <v/>
      </c>
      <c r="N84" s="515" t="str">
        <f>IF('別紙様式2-2（個票（４、５月））'!N84="","",'別紙様式2-2（個票（４、５月））'!N84)</f>
        <v/>
      </c>
      <c r="O84" s="286"/>
      <c r="P84" s="546" t="str">
        <f>IFERROR(VLOOKUP(K84,【参考】数式用!$A$2:$M$57,MATCH(O84,【参考】数式用!$G$3:$M$3,0)+6,0),"")</f>
        <v/>
      </c>
      <c r="Q84" s="310" t="s">
        <v>118</v>
      </c>
      <c r="R84" s="308"/>
      <c r="S84" s="309" t="s">
        <v>183</v>
      </c>
      <c r="T84" s="308"/>
      <c r="U84" s="309" t="s">
        <v>184</v>
      </c>
      <c r="V84" s="308"/>
      <c r="W84" s="309" t="s">
        <v>183</v>
      </c>
      <c r="X84" s="308"/>
      <c r="Y84" s="309" t="s">
        <v>185</v>
      </c>
      <c r="Z84" s="309" t="s">
        <v>186</v>
      </c>
      <c r="AA84" s="309" t="str">
        <f t="shared" si="71"/>
        <v/>
      </c>
      <c r="AB84" s="305" t="s">
        <v>187</v>
      </c>
      <c r="AC84" s="306" t="str">
        <f t="shared" si="51"/>
        <v/>
      </c>
      <c r="AD84" s="507"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48" t="str">
        <f>IFERROR(VLOOKUP(K84,【参考】数式用!$A$2:$N$57,14,FALSE),"")</f>
        <v/>
      </c>
      <c r="AP84" s="548" t="str">
        <f t="shared" si="54"/>
        <v/>
      </c>
      <c r="AQ84" s="552" t="str">
        <f t="shared" si="42"/>
        <v/>
      </c>
      <c r="AR84" s="552" t="str">
        <f t="shared" si="70"/>
        <v>キャリアパス要件Ⅰ・Ⅱ_</v>
      </c>
      <c r="AS84" s="531" t="str">
        <f t="shared" si="43"/>
        <v>入力済</v>
      </c>
      <c r="AT84" s="548" t="str">
        <f t="shared" si="55"/>
        <v/>
      </c>
      <c r="AU84" s="531" t="str">
        <f t="shared" si="44"/>
        <v>入力済</v>
      </c>
      <c r="AV84" s="531" t="str">
        <f t="shared" si="45"/>
        <v/>
      </c>
      <c r="AW84" s="531" t="str">
        <f t="shared" si="56"/>
        <v/>
      </c>
      <c r="AX84" s="548" t="str">
        <f t="shared" si="46"/>
        <v/>
      </c>
      <c r="AY84" s="531" t="str">
        <f>IFERROR(VLOOKUP(K84,【参考】数式用!$AR$3:$AS$49, 2, FALSE), "")</f>
        <v/>
      </c>
      <c r="AZ84" s="548" t="str">
        <f t="shared" si="57"/>
        <v/>
      </c>
      <c r="BA84" s="551" t="str">
        <f t="shared" si="47"/>
        <v>入力済</v>
      </c>
      <c r="BB84" s="531" t="str">
        <f>IFERROR(VLOOKUP(K84,【参考】数式用!$AX$3:$AY$59, 2, FALSE), "")</f>
        <v/>
      </c>
      <c r="BC84" s="548" t="str">
        <f t="shared" si="58"/>
        <v/>
      </c>
      <c r="BD84" s="551" t="str">
        <f t="shared" si="48"/>
        <v>入力済</v>
      </c>
      <c r="BE84" s="551" t="str">
        <f t="shared" si="59"/>
        <v/>
      </c>
      <c r="BF84" s="551" t="str">
        <f t="shared" si="60"/>
        <v/>
      </c>
      <c r="BG84" s="551" t="str">
        <f t="shared" si="61"/>
        <v/>
      </c>
      <c r="BH84" s="551" t="str">
        <f t="shared" si="49"/>
        <v/>
      </c>
      <c r="BI84" s="551" t="str">
        <f t="shared" si="50"/>
        <v/>
      </c>
      <c r="BK84" s="27"/>
      <c r="BL84" s="587" t="str">
        <f t="shared" si="62"/>
        <v/>
      </c>
      <c r="BM84" s="587" t="str">
        <f t="shared" si="63"/>
        <v/>
      </c>
      <c r="BN84" s="587" t="str">
        <f t="shared" si="64"/>
        <v/>
      </c>
      <c r="BO84" s="588" t="str">
        <f>IF(BM84="","",ROUNDDOWN(L84*VLOOKUP(K84,【参考】数式用!$A$4:$J$42,10,FALSE)*AA84,0))</f>
        <v/>
      </c>
      <c r="BP84" s="587" t="str">
        <f t="shared" si="65"/>
        <v/>
      </c>
      <c r="BQ84" s="587" t="str">
        <f t="shared" si="66"/>
        <v/>
      </c>
      <c r="BR84" s="589" t="str">
        <f t="shared" si="67"/>
        <v/>
      </c>
      <c r="BS84" s="589" t="str">
        <f t="shared" si="68"/>
        <v/>
      </c>
      <c r="BT84" s="587" t="str">
        <f t="shared" si="69"/>
        <v/>
      </c>
      <c r="BU84" s="588" t="str">
        <f>IF(BT84="Ⅱロ有り",ROUNDDOWN(L84*VLOOKUP(K84,【参考】数式用!$A$4:$J$42,10,FALSE)*AA84,0),"")</f>
        <v/>
      </c>
      <c r="BV84" s="587" t="str">
        <f>IF(BT84="Ⅱロなし",ROUNDDOWN(L84*VLOOKUP(K84,【参考】数式用!$A$4:$J$42,8,FALSE)*AA84,0),"")</f>
        <v/>
      </c>
    </row>
    <row r="85" spans="1:74" ht="109.9" customHeight="1" thickBot="1">
      <c r="A85" s="303">
        <v>72</v>
      </c>
      <c r="B85" s="933" t="str">
        <f>IF(基本情報入力シート!B107="","",基本情報入力シート!B107)</f>
        <v/>
      </c>
      <c r="C85" s="934"/>
      <c r="D85" s="934"/>
      <c r="E85" s="934"/>
      <c r="F85" s="935"/>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49" t="str">
        <f>IF(基本情報入力シート!AF107=0, "",基本情報入力シート!AF107)</f>
        <v/>
      </c>
      <c r="M85" s="516" t="str">
        <f>IF('別紙様式2-2（個票（４、５月））'!M85="","",'別紙様式2-2（個票（４、５月））'!M85)</f>
        <v/>
      </c>
      <c r="N85" s="515" t="str">
        <f>IF('別紙様式2-2（個票（４、５月））'!N85="","",'別紙様式2-2（個票（４、５月））'!N85)</f>
        <v/>
      </c>
      <c r="O85" s="286"/>
      <c r="P85" s="546" t="str">
        <f>IFERROR(VLOOKUP(K85,【参考】数式用!$A$2:$M$57,MATCH(O85,【参考】数式用!$G$3:$M$3,0)+6,0),"")</f>
        <v/>
      </c>
      <c r="Q85" s="310" t="s">
        <v>118</v>
      </c>
      <c r="R85" s="308"/>
      <c r="S85" s="309" t="s">
        <v>183</v>
      </c>
      <c r="T85" s="308"/>
      <c r="U85" s="309" t="s">
        <v>184</v>
      </c>
      <c r="V85" s="308"/>
      <c r="W85" s="309" t="s">
        <v>183</v>
      </c>
      <c r="X85" s="308"/>
      <c r="Y85" s="309" t="s">
        <v>120</v>
      </c>
      <c r="Z85" s="309" t="s">
        <v>186</v>
      </c>
      <c r="AA85" s="309" t="str">
        <f t="shared" si="71"/>
        <v/>
      </c>
      <c r="AB85" s="305" t="s">
        <v>187</v>
      </c>
      <c r="AC85" s="306" t="str">
        <f t="shared" si="51"/>
        <v/>
      </c>
      <c r="AD85" s="507"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48" t="str">
        <f>IFERROR(VLOOKUP(K85,【参考】数式用!$A$2:$N$57,14,FALSE),"")</f>
        <v/>
      </c>
      <c r="AP85" s="548" t="str">
        <f t="shared" si="54"/>
        <v/>
      </c>
      <c r="AQ85" s="552" t="str">
        <f t="shared" si="42"/>
        <v/>
      </c>
      <c r="AR85" s="552" t="str">
        <f t="shared" si="70"/>
        <v>キャリアパス要件Ⅰ・Ⅱ_</v>
      </c>
      <c r="AS85" s="531" t="str">
        <f t="shared" si="43"/>
        <v>入力済</v>
      </c>
      <c r="AT85" s="548" t="str">
        <f t="shared" si="55"/>
        <v/>
      </c>
      <c r="AU85" s="531" t="str">
        <f t="shared" si="44"/>
        <v>入力済</v>
      </c>
      <c r="AV85" s="531" t="str">
        <f t="shared" si="45"/>
        <v/>
      </c>
      <c r="AW85" s="531" t="str">
        <f t="shared" si="56"/>
        <v/>
      </c>
      <c r="AX85" s="548" t="str">
        <f t="shared" si="46"/>
        <v/>
      </c>
      <c r="AY85" s="531" t="str">
        <f>IFERROR(VLOOKUP(K85,【参考】数式用!$AR$3:$AS$49, 2, FALSE), "")</f>
        <v/>
      </c>
      <c r="AZ85" s="548" t="str">
        <f t="shared" si="57"/>
        <v/>
      </c>
      <c r="BA85" s="551" t="str">
        <f t="shared" si="47"/>
        <v>入力済</v>
      </c>
      <c r="BB85" s="531" t="str">
        <f>IFERROR(VLOOKUP(K85,【参考】数式用!$AX$3:$AY$59, 2, FALSE), "")</f>
        <v/>
      </c>
      <c r="BC85" s="548" t="str">
        <f t="shared" si="58"/>
        <v/>
      </c>
      <c r="BD85" s="551" t="str">
        <f t="shared" si="48"/>
        <v>入力済</v>
      </c>
      <c r="BE85" s="551" t="str">
        <f t="shared" si="59"/>
        <v/>
      </c>
      <c r="BF85" s="551" t="str">
        <f t="shared" si="60"/>
        <v/>
      </c>
      <c r="BG85" s="551" t="str">
        <f t="shared" si="61"/>
        <v/>
      </c>
      <c r="BH85" s="551" t="str">
        <f t="shared" si="49"/>
        <v/>
      </c>
      <c r="BI85" s="551" t="str">
        <f t="shared" si="50"/>
        <v/>
      </c>
      <c r="BK85" s="27"/>
      <c r="BL85" s="587" t="str">
        <f t="shared" si="62"/>
        <v/>
      </c>
      <c r="BM85" s="587" t="str">
        <f t="shared" si="63"/>
        <v/>
      </c>
      <c r="BN85" s="587" t="str">
        <f t="shared" si="64"/>
        <v/>
      </c>
      <c r="BO85" s="588" t="str">
        <f>IF(BM85="","",ROUNDDOWN(L85*VLOOKUP(K85,【参考】数式用!$A$4:$J$42,10,FALSE)*AA85,0))</f>
        <v/>
      </c>
      <c r="BP85" s="587" t="str">
        <f t="shared" si="65"/>
        <v/>
      </c>
      <c r="BQ85" s="587" t="str">
        <f t="shared" si="66"/>
        <v/>
      </c>
      <c r="BR85" s="589" t="str">
        <f t="shared" si="67"/>
        <v/>
      </c>
      <c r="BS85" s="589" t="str">
        <f t="shared" si="68"/>
        <v/>
      </c>
      <c r="BT85" s="587" t="str">
        <f t="shared" si="69"/>
        <v/>
      </c>
      <c r="BU85" s="588" t="str">
        <f>IF(BT85="Ⅱロ有り",ROUNDDOWN(L85*VLOOKUP(K85,【参考】数式用!$A$4:$J$42,10,FALSE)*AA85,0),"")</f>
        <v/>
      </c>
      <c r="BV85" s="587" t="str">
        <f>IF(BT85="Ⅱロなし",ROUNDDOWN(L85*VLOOKUP(K85,【参考】数式用!$A$4:$J$42,8,FALSE)*AA85,0),"")</f>
        <v/>
      </c>
    </row>
    <row r="86" spans="1:74" ht="109.9" customHeight="1" thickBot="1">
      <c r="A86" s="303">
        <v>73</v>
      </c>
      <c r="B86" s="933" t="str">
        <f>IF(基本情報入力シート!B108="","",基本情報入力シート!B108)</f>
        <v/>
      </c>
      <c r="C86" s="934"/>
      <c r="D86" s="934"/>
      <c r="E86" s="934"/>
      <c r="F86" s="935"/>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49" t="str">
        <f>IF(基本情報入力シート!AF108=0, "",基本情報入力シート!AF108)</f>
        <v/>
      </c>
      <c r="M86" s="516" t="str">
        <f>IF('別紙様式2-2（個票（４、５月））'!M86="","",'別紙様式2-2（個票（４、５月））'!M86)</f>
        <v/>
      </c>
      <c r="N86" s="515" t="str">
        <f>IF('別紙様式2-2（個票（４、５月））'!N86="","",'別紙様式2-2（個票（４、５月））'!N86)</f>
        <v/>
      </c>
      <c r="O86" s="286"/>
      <c r="P86" s="546" t="str">
        <f>IFERROR(VLOOKUP(K86,【参考】数式用!$A$2:$M$57,MATCH(O86,【参考】数式用!$G$3:$M$3,0)+6,0),"")</f>
        <v/>
      </c>
      <c r="Q86" s="310" t="s">
        <v>118</v>
      </c>
      <c r="R86" s="308"/>
      <c r="S86" s="309" t="s">
        <v>183</v>
      </c>
      <c r="T86" s="308"/>
      <c r="U86" s="309" t="s">
        <v>184</v>
      </c>
      <c r="V86" s="308"/>
      <c r="W86" s="309" t="s">
        <v>183</v>
      </c>
      <c r="X86" s="308"/>
      <c r="Y86" s="309" t="s">
        <v>185</v>
      </c>
      <c r="Z86" s="309" t="s">
        <v>186</v>
      </c>
      <c r="AA86" s="309" t="str">
        <f t="shared" si="71"/>
        <v/>
      </c>
      <c r="AB86" s="305" t="s">
        <v>187</v>
      </c>
      <c r="AC86" s="306" t="str">
        <f t="shared" si="51"/>
        <v/>
      </c>
      <c r="AD86" s="507"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48" t="str">
        <f>IFERROR(VLOOKUP(K86,【参考】数式用!$A$2:$N$57,14,FALSE),"")</f>
        <v/>
      </c>
      <c r="AP86" s="548" t="str">
        <f t="shared" si="54"/>
        <v/>
      </c>
      <c r="AQ86" s="552" t="str">
        <f t="shared" si="42"/>
        <v/>
      </c>
      <c r="AR86" s="552" t="str">
        <f t="shared" si="70"/>
        <v>キャリアパス要件Ⅰ・Ⅱ_</v>
      </c>
      <c r="AS86" s="531" t="str">
        <f t="shared" si="43"/>
        <v>入力済</v>
      </c>
      <c r="AT86" s="548" t="str">
        <f t="shared" si="55"/>
        <v/>
      </c>
      <c r="AU86" s="531" t="str">
        <f t="shared" si="44"/>
        <v>入力済</v>
      </c>
      <c r="AV86" s="531" t="str">
        <f t="shared" si="45"/>
        <v/>
      </c>
      <c r="AW86" s="531" t="str">
        <f t="shared" si="56"/>
        <v/>
      </c>
      <c r="AX86" s="548" t="str">
        <f t="shared" si="46"/>
        <v/>
      </c>
      <c r="AY86" s="531" t="str">
        <f>IFERROR(VLOOKUP(K86,【参考】数式用!$AR$3:$AS$49, 2, FALSE), "")</f>
        <v/>
      </c>
      <c r="AZ86" s="548" t="str">
        <f t="shared" si="57"/>
        <v/>
      </c>
      <c r="BA86" s="551" t="str">
        <f t="shared" si="47"/>
        <v>入力済</v>
      </c>
      <c r="BB86" s="531" t="str">
        <f>IFERROR(VLOOKUP(K86,【参考】数式用!$AX$3:$AY$59, 2, FALSE), "")</f>
        <v/>
      </c>
      <c r="BC86" s="548" t="str">
        <f t="shared" si="58"/>
        <v/>
      </c>
      <c r="BD86" s="551" t="str">
        <f t="shared" si="48"/>
        <v>入力済</v>
      </c>
      <c r="BE86" s="551" t="str">
        <f t="shared" si="59"/>
        <v/>
      </c>
      <c r="BF86" s="551" t="str">
        <f t="shared" si="60"/>
        <v/>
      </c>
      <c r="BG86" s="551" t="str">
        <f t="shared" si="61"/>
        <v/>
      </c>
      <c r="BH86" s="551" t="str">
        <f t="shared" si="49"/>
        <v/>
      </c>
      <c r="BI86" s="551" t="str">
        <f t="shared" si="50"/>
        <v/>
      </c>
      <c r="BK86" s="27"/>
      <c r="BL86" s="587" t="str">
        <f t="shared" si="62"/>
        <v/>
      </c>
      <c r="BM86" s="587" t="str">
        <f t="shared" si="63"/>
        <v/>
      </c>
      <c r="BN86" s="587" t="str">
        <f t="shared" si="64"/>
        <v/>
      </c>
      <c r="BO86" s="588" t="str">
        <f>IF(BM86="","",ROUNDDOWN(L86*VLOOKUP(K86,【参考】数式用!$A$4:$J$42,10,FALSE)*AA86,0))</f>
        <v/>
      </c>
      <c r="BP86" s="587" t="str">
        <f t="shared" si="65"/>
        <v/>
      </c>
      <c r="BQ86" s="587" t="str">
        <f t="shared" si="66"/>
        <v/>
      </c>
      <c r="BR86" s="589" t="str">
        <f t="shared" si="67"/>
        <v/>
      </c>
      <c r="BS86" s="589" t="str">
        <f t="shared" si="68"/>
        <v/>
      </c>
      <c r="BT86" s="587" t="str">
        <f t="shared" si="69"/>
        <v/>
      </c>
      <c r="BU86" s="588" t="str">
        <f>IF(BT86="Ⅱロ有り",ROUNDDOWN(L86*VLOOKUP(K86,【参考】数式用!$A$4:$J$42,10,FALSE)*AA86,0),"")</f>
        <v/>
      </c>
      <c r="BV86" s="587" t="str">
        <f>IF(BT86="Ⅱロなし",ROUNDDOWN(L86*VLOOKUP(K86,【参考】数式用!$A$4:$J$42,8,FALSE)*AA86,0),"")</f>
        <v/>
      </c>
    </row>
    <row r="87" spans="1:74" ht="109.9" customHeight="1" thickBot="1">
      <c r="A87" s="303">
        <v>74</v>
      </c>
      <c r="B87" s="933" t="str">
        <f>IF(基本情報入力シート!B109="","",基本情報入力シート!B109)</f>
        <v/>
      </c>
      <c r="C87" s="934"/>
      <c r="D87" s="934"/>
      <c r="E87" s="934"/>
      <c r="F87" s="935"/>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49" t="str">
        <f>IF(基本情報入力シート!AF109=0, "",基本情報入力シート!AF109)</f>
        <v/>
      </c>
      <c r="M87" s="516" t="str">
        <f>IF('別紙様式2-2（個票（４、５月））'!M87="","",'別紙様式2-2（個票（４、５月））'!M87)</f>
        <v/>
      </c>
      <c r="N87" s="515" t="str">
        <f>IF('別紙様式2-2（個票（４、５月））'!N87="","",'別紙様式2-2（個票（４、５月））'!N87)</f>
        <v/>
      </c>
      <c r="O87" s="286"/>
      <c r="P87" s="546" t="str">
        <f>IFERROR(VLOOKUP(K87,【参考】数式用!$A$2:$M$57,MATCH(O87,【参考】数式用!$G$3:$M$3,0)+6,0),"")</f>
        <v/>
      </c>
      <c r="Q87" s="310" t="s">
        <v>118</v>
      </c>
      <c r="R87" s="308"/>
      <c r="S87" s="309" t="s">
        <v>183</v>
      </c>
      <c r="T87" s="308"/>
      <c r="U87" s="309" t="s">
        <v>184</v>
      </c>
      <c r="V87" s="308"/>
      <c r="W87" s="309" t="s">
        <v>183</v>
      </c>
      <c r="X87" s="308"/>
      <c r="Y87" s="309" t="s">
        <v>185</v>
      </c>
      <c r="Z87" s="309" t="s">
        <v>186</v>
      </c>
      <c r="AA87" s="309" t="str">
        <f t="shared" si="71"/>
        <v/>
      </c>
      <c r="AB87" s="305" t="s">
        <v>187</v>
      </c>
      <c r="AC87" s="306" t="str">
        <f t="shared" si="51"/>
        <v/>
      </c>
      <c r="AD87" s="507"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48" t="str">
        <f>IFERROR(VLOOKUP(K87,【参考】数式用!$A$2:$N$57,14,FALSE),"")</f>
        <v/>
      </c>
      <c r="AP87" s="548" t="str">
        <f t="shared" si="54"/>
        <v/>
      </c>
      <c r="AQ87" s="552" t="str">
        <f t="shared" si="42"/>
        <v/>
      </c>
      <c r="AR87" s="552" t="str">
        <f t="shared" si="70"/>
        <v>キャリアパス要件Ⅰ・Ⅱ_</v>
      </c>
      <c r="AS87" s="531" t="str">
        <f t="shared" si="43"/>
        <v>入力済</v>
      </c>
      <c r="AT87" s="548" t="str">
        <f t="shared" si="55"/>
        <v/>
      </c>
      <c r="AU87" s="531" t="str">
        <f t="shared" si="44"/>
        <v>入力済</v>
      </c>
      <c r="AV87" s="531" t="str">
        <f t="shared" si="45"/>
        <v/>
      </c>
      <c r="AW87" s="531" t="str">
        <f t="shared" si="56"/>
        <v/>
      </c>
      <c r="AX87" s="548" t="str">
        <f t="shared" si="46"/>
        <v/>
      </c>
      <c r="AY87" s="531" t="str">
        <f>IFERROR(VLOOKUP(K87,【参考】数式用!$AR$3:$AS$49, 2, FALSE), "")</f>
        <v/>
      </c>
      <c r="AZ87" s="548" t="str">
        <f t="shared" si="57"/>
        <v/>
      </c>
      <c r="BA87" s="551" t="str">
        <f t="shared" si="47"/>
        <v>入力済</v>
      </c>
      <c r="BB87" s="531" t="str">
        <f>IFERROR(VLOOKUP(K87,【参考】数式用!$AX$3:$AY$59, 2, FALSE), "")</f>
        <v/>
      </c>
      <c r="BC87" s="548" t="str">
        <f t="shared" si="58"/>
        <v/>
      </c>
      <c r="BD87" s="551" t="str">
        <f t="shared" si="48"/>
        <v>入力済</v>
      </c>
      <c r="BE87" s="551" t="str">
        <f t="shared" si="59"/>
        <v/>
      </c>
      <c r="BF87" s="551" t="str">
        <f t="shared" si="60"/>
        <v/>
      </c>
      <c r="BG87" s="551" t="str">
        <f t="shared" si="61"/>
        <v/>
      </c>
      <c r="BH87" s="551" t="str">
        <f t="shared" si="49"/>
        <v/>
      </c>
      <c r="BI87" s="551" t="str">
        <f t="shared" si="50"/>
        <v/>
      </c>
      <c r="BK87" s="27"/>
      <c r="BL87" s="587" t="str">
        <f t="shared" si="62"/>
        <v/>
      </c>
      <c r="BM87" s="587" t="str">
        <f t="shared" si="63"/>
        <v/>
      </c>
      <c r="BN87" s="587" t="str">
        <f t="shared" si="64"/>
        <v/>
      </c>
      <c r="BO87" s="588" t="str">
        <f>IF(BM87="","",ROUNDDOWN(L87*VLOOKUP(K87,【参考】数式用!$A$4:$J$42,10,FALSE)*AA87,0))</f>
        <v/>
      </c>
      <c r="BP87" s="587" t="str">
        <f t="shared" si="65"/>
        <v/>
      </c>
      <c r="BQ87" s="587" t="str">
        <f t="shared" si="66"/>
        <v/>
      </c>
      <c r="BR87" s="589" t="str">
        <f t="shared" si="67"/>
        <v/>
      </c>
      <c r="BS87" s="589" t="str">
        <f t="shared" si="68"/>
        <v/>
      </c>
      <c r="BT87" s="587" t="str">
        <f t="shared" si="69"/>
        <v/>
      </c>
      <c r="BU87" s="588" t="str">
        <f>IF(BT87="Ⅱロ有り",ROUNDDOWN(L87*VLOOKUP(K87,【参考】数式用!$A$4:$J$42,10,FALSE)*AA87,0),"")</f>
        <v/>
      </c>
      <c r="BV87" s="587" t="str">
        <f>IF(BT87="Ⅱロなし",ROUNDDOWN(L87*VLOOKUP(K87,【参考】数式用!$A$4:$J$42,8,FALSE)*AA87,0),"")</f>
        <v/>
      </c>
    </row>
    <row r="88" spans="1:74" ht="109.9" customHeight="1" thickBot="1">
      <c r="A88" s="303">
        <v>75</v>
      </c>
      <c r="B88" s="933" t="str">
        <f>IF(基本情報入力シート!B110="","",基本情報入力シート!B110)</f>
        <v/>
      </c>
      <c r="C88" s="934"/>
      <c r="D88" s="934"/>
      <c r="E88" s="934"/>
      <c r="F88" s="935"/>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49" t="str">
        <f>IF(基本情報入力シート!AF110=0, "",基本情報入力シート!AF110)</f>
        <v/>
      </c>
      <c r="M88" s="516" t="str">
        <f>IF('別紙様式2-2（個票（４、５月））'!M88="","",'別紙様式2-2（個票（４、５月））'!M88)</f>
        <v/>
      </c>
      <c r="N88" s="515" t="str">
        <f>IF('別紙様式2-2（個票（４、５月））'!N88="","",'別紙様式2-2（個票（４、５月））'!N88)</f>
        <v/>
      </c>
      <c r="O88" s="286"/>
      <c r="P88" s="546" t="str">
        <f>IFERROR(VLOOKUP(K88,【参考】数式用!$A$2:$M$57,MATCH(O88,【参考】数式用!$G$3:$M$3,0)+6,0),"")</f>
        <v/>
      </c>
      <c r="Q88" s="310" t="s">
        <v>118</v>
      </c>
      <c r="R88" s="308"/>
      <c r="S88" s="309" t="s">
        <v>183</v>
      </c>
      <c r="T88" s="308"/>
      <c r="U88" s="309" t="s">
        <v>184</v>
      </c>
      <c r="V88" s="308"/>
      <c r="W88" s="309" t="s">
        <v>183</v>
      </c>
      <c r="X88" s="308"/>
      <c r="Y88" s="309" t="s">
        <v>185</v>
      </c>
      <c r="Z88" s="309" t="s">
        <v>186</v>
      </c>
      <c r="AA88" s="309" t="str">
        <f t="shared" si="71"/>
        <v/>
      </c>
      <c r="AB88" s="305" t="s">
        <v>187</v>
      </c>
      <c r="AC88" s="306" t="str">
        <f t="shared" si="51"/>
        <v/>
      </c>
      <c r="AD88" s="507"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48" t="str">
        <f>IFERROR(VLOOKUP(K88,【参考】数式用!$A$2:$N$57,14,FALSE),"")</f>
        <v/>
      </c>
      <c r="AP88" s="548" t="str">
        <f t="shared" si="54"/>
        <v/>
      </c>
      <c r="AQ88" s="552" t="str">
        <f t="shared" si="42"/>
        <v/>
      </c>
      <c r="AR88" s="552" t="str">
        <f t="shared" si="70"/>
        <v>キャリアパス要件Ⅰ・Ⅱ_</v>
      </c>
      <c r="AS88" s="531" t="str">
        <f t="shared" si="43"/>
        <v>入力済</v>
      </c>
      <c r="AT88" s="548" t="str">
        <f t="shared" si="55"/>
        <v/>
      </c>
      <c r="AU88" s="531" t="str">
        <f t="shared" si="44"/>
        <v>入力済</v>
      </c>
      <c r="AV88" s="531" t="str">
        <f t="shared" si="45"/>
        <v/>
      </c>
      <c r="AW88" s="531" t="str">
        <f t="shared" si="56"/>
        <v/>
      </c>
      <c r="AX88" s="548" t="str">
        <f t="shared" si="46"/>
        <v/>
      </c>
      <c r="AY88" s="531" t="str">
        <f>IFERROR(VLOOKUP(K88,【参考】数式用!$AR$3:$AS$49, 2, FALSE), "")</f>
        <v/>
      </c>
      <c r="AZ88" s="548" t="str">
        <f t="shared" si="57"/>
        <v/>
      </c>
      <c r="BA88" s="551" t="str">
        <f t="shared" si="47"/>
        <v>入力済</v>
      </c>
      <c r="BB88" s="531" t="str">
        <f>IFERROR(VLOOKUP(K88,【参考】数式用!$AX$3:$AY$59, 2, FALSE), "")</f>
        <v/>
      </c>
      <c r="BC88" s="548" t="str">
        <f t="shared" si="58"/>
        <v/>
      </c>
      <c r="BD88" s="551" t="str">
        <f t="shared" si="48"/>
        <v>入力済</v>
      </c>
      <c r="BE88" s="551" t="str">
        <f t="shared" si="59"/>
        <v/>
      </c>
      <c r="BF88" s="551" t="str">
        <f t="shared" si="60"/>
        <v/>
      </c>
      <c r="BG88" s="551" t="str">
        <f t="shared" si="61"/>
        <v/>
      </c>
      <c r="BH88" s="551" t="str">
        <f t="shared" si="49"/>
        <v/>
      </c>
      <c r="BI88" s="551" t="str">
        <f t="shared" si="50"/>
        <v/>
      </c>
      <c r="BK88" s="27"/>
      <c r="BL88" s="587" t="str">
        <f t="shared" si="62"/>
        <v/>
      </c>
      <c r="BM88" s="587" t="str">
        <f t="shared" si="63"/>
        <v/>
      </c>
      <c r="BN88" s="587" t="str">
        <f t="shared" si="64"/>
        <v/>
      </c>
      <c r="BO88" s="588" t="str">
        <f>IF(BM88="","",ROUNDDOWN(L88*VLOOKUP(K88,【参考】数式用!$A$4:$J$42,10,FALSE)*AA88,0))</f>
        <v/>
      </c>
      <c r="BP88" s="587" t="str">
        <f t="shared" si="65"/>
        <v/>
      </c>
      <c r="BQ88" s="587" t="str">
        <f t="shared" si="66"/>
        <v/>
      </c>
      <c r="BR88" s="589" t="str">
        <f t="shared" si="67"/>
        <v/>
      </c>
      <c r="BS88" s="589" t="str">
        <f t="shared" si="68"/>
        <v/>
      </c>
      <c r="BT88" s="587" t="str">
        <f t="shared" si="69"/>
        <v/>
      </c>
      <c r="BU88" s="588" t="str">
        <f>IF(BT88="Ⅱロ有り",ROUNDDOWN(L88*VLOOKUP(K88,【参考】数式用!$A$4:$J$42,10,FALSE)*AA88,0),"")</f>
        <v/>
      </c>
      <c r="BV88" s="587" t="str">
        <f>IF(BT88="Ⅱロなし",ROUNDDOWN(L88*VLOOKUP(K88,【参考】数式用!$A$4:$J$42,8,FALSE)*AA88,0),"")</f>
        <v/>
      </c>
    </row>
    <row r="89" spans="1:74" ht="109.9" customHeight="1" thickBot="1">
      <c r="A89" s="303">
        <v>76</v>
      </c>
      <c r="B89" s="933" t="str">
        <f>IF(基本情報入力シート!B111="","",基本情報入力シート!B111)</f>
        <v/>
      </c>
      <c r="C89" s="934"/>
      <c r="D89" s="934"/>
      <c r="E89" s="934"/>
      <c r="F89" s="935"/>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49" t="str">
        <f>IF(基本情報入力シート!AF111=0, "",基本情報入力シート!AF111)</f>
        <v/>
      </c>
      <c r="M89" s="516" t="str">
        <f>IF('別紙様式2-2（個票（４、５月））'!M89="","",'別紙様式2-2（個票（４、５月））'!M89)</f>
        <v/>
      </c>
      <c r="N89" s="515" t="str">
        <f>IF('別紙様式2-2（個票（４、５月））'!N89="","",'別紙様式2-2（個票（４、５月））'!N89)</f>
        <v/>
      </c>
      <c r="O89" s="286"/>
      <c r="P89" s="546" t="str">
        <f>IFERROR(VLOOKUP(K89,【参考】数式用!$A$2:$M$57,MATCH(O89,【参考】数式用!$G$3:$M$3,0)+6,0),"")</f>
        <v/>
      </c>
      <c r="Q89" s="310" t="s">
        <v>118</v>
      </c>
      <c r="R89" s="308"/>
      <c r="S89" s="309" t="s">
        <v>183</v>
      </c>
      <c r="T89" s="308"/>
      <c r="U89" s="309" t="s">
        <v>184</v>
      </c>
      <c r="V89" s="308"/>
      <c r="W89" s="309" t="s">
        <v>183</v>
      </c>
      <c r="X89" s="308"/>
      <c r="Y89" s="309" t="s">
        <v>120</v>
      </c>
      <c r="Z89" s="309" t="s">
        <v>186</v>
      </c>
      <c r="AA89" s="309" t="str">
        <f t="shared" si="71"/>
        <v/>
      </c>
      <c r="AB89" s="305" t="s">
        <v>187</v>
      </c>
      <c r="AC89" s="306" t="str">
        <f t="shared" si="51"/>
        <v/>
      </c>
      <c r="AD89" s="507"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48" t="str">
        <f>IFERROR(VLOOKUP(K89,【参考】数式用!$A$2:$N$57,14,FALSE),"")</f>
        <v/>
      </c>
      <c r="AP89" s="548" t="str">
        <f t="shared" si="54"/>
        <v/>
      </c>
      <c r="AQ89" s="552" t="str">
        <f t="shared" si="42"/>
        <v/>
      </c>
      <c r="AR89" s="552" t="str">
        <f t="shared" si="70"/>
        <v>キャリアパス要件Ⅰ・Ⅱ_</v>
      </c>
      <c r="AS89" s="531" t="str">
        <f t="shared" si="43"/>
        <v>入力済</v>
      </c>
      <c r="AT89" s="548" t="str">
        <f t="shared" si="55"/>
        <v/>
      </c>
      <c r="AU89" s="531" t="str">
        <f t="shared" si="44"/>
        <v>入力済</v>
      </c>
      <c r="AV89" s="531" t="str">
        <f t="shared" si="45"/>
        <v/>
      </c>
      <c r="AW89" s="531" t="str">
        <f t="shared" si="56"/>
        <v/>
      </c>
      <c r="AX89" s="548" t="str">
        <f t="shared" si="46"/>
        <v/>
      </c>
      <c r="AY89" s="531" t="str">
        <f>IFERROR(VLOOKUP(K89,【参考】数式用!$AR$3:$AS$49, 2, FALSE), "")</f>
        <v/>
      </c>
      <c r="AZ89" s="548" t="str">
        <f t="shared" si="57"/>
        <v/>
      </c>
      <c r="BA89" s="551" t="str">
        <f t="shared" si="47"/>
        <v>入力済</v>
      </c>
      <c r="BB89" s="531" t="str">
        <f>IFERROR(VLOOKUP(K89,【参考】数式用!$AX$3:$AY$59, 2, FALSE), "")</f>
        <v/>
      </c>
      <c r="BC89" s="548" t="str">
        <f t="shared" si="58"/>
        <v/>
      </c>
      <c r="BD89" s="551" t="str">
        <f t="shared" si="48"/>
        <v>入力済</v>
      </c>
      <c r="BE89" s="551" t="str">
        <f t="shared" si="59"/>
        <v/>
      </c>
      <c r="BF89" s="551" t="str">
        <f t="shared" si="60"/>
        <v/>
      </c>
      <c r="BG89" s="551" t="str">
        <f t="shared" si="61"/>
        <v/>
      </c>
      <c r="BH89" s="551" t="str">
        <f t="shared" si="49"/>
        <v/>
      </c>
      <c r="BI89" s="551" t="str">
        <f t="shared" si="50"/>
        <v/>
      </c>
      <c r="BK89" s="27"/>
      <c r="BL89" s="587" t="str">
        <f t="shared" si="62"/>
        <v/>
      </c>
      <c r="BM89" s="587" t="str">
        <f t="shared" si="63"/>
        <v/>
      </c>
      <c r="BN89" s="587" t="str">
        <f t="shared" si="64"/>
        <v/>
      </c>
      <c r="BO89" s="588" t="str">
        <f>IF(BM89="","",ROUNDDOWN(L89*VLOOKUP(K89,【参考】数式用!$A$4:$J$42,10,FALSE)*AA89,0))</f>
        <v/>
      </c>
      <c r="BP89" s="587" t="str">
        <f t="shared" si="65"/>
        <v/>
      </c>
      <c r="BQ89" s="587" t="str">
        <f t="shared" si="66"/>
        <v/>
      </c>
      <c r="BR89" s="589" t="str">
        <f t="shared" si="67"/>
        <v/>
      </c>
      <c r="BS89" s="589" t="str">
        <f t="shared" si="68"/>
        <v/>
      </c>
      <c r="BT89" s="587" t="str">
        <f t="shared" si="69"/>
        <v/>
      </c>
      <c r="BU89" s="588" t="str">
        <f>IF(BT89="Ⅱロ有り",ROUNDDOWN(L89*VLOOKUP(K89,【参考】数式用!$A$4:$J$42,10,FALSE)*AA89,0),"")</f>
        <v/>
      </c>
      <c r="BV89" s="587" t="str">
        <f>IF(BT89="Ⅱロなし",ROUNDDOWN(L89*VLOOKUP(K89,【参考】数式用!$A$4:$J$42,8,FALSE)*AA89,0),"")</f>
        <v/>
      </c>
    </row>
    <row r="90" spans="1:74" ht="109.9" customHeight="1" thickBot="1">
      <c r="A90" s="303">
        <v>77</v>
      </c>
      <c r="B90" s="933" t="str">
        <f>IF(基本情報入力シート!B112="","",基本情報入力シート!B112)</f>
        <v/>
      </c>
      <c r="C90" s="934"/>
      <c r="D90" s="934"/>
      <c r="E90" s="934"/>
      <c r="F90" s="935"/>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49" t="str">
        <f>IF(基本情報入力シート!AF112=0, "",基本情報入力シート!AF112)</f>
        <v/>
      </c>
      <c r="M90" s="516" t="str">
        <f>IF('別紙様式2-2（個票（４、５月））'!M90="","",'別紙様式2-2（個票（４、５月））'!M90)</f>
        <v/>
      </c>
      <c r="N90" s="515" t="str">
        <f>IF('別紙様式2-2（個票（４、５月））'!N90="","",'別紙様式2-2（個票（４、５月））'!N90)</f>
        <v/>
      </c>
      <c r="O90" s="286"/>
      <c r="P90" s="546" t="str">
        <f>IFERROR(VLOOKUP(K90,【参考】数式用!$A$2:$M$57,MATCH(O90,【参考】数式用!$G$3:$M$3,0)+6,0),"")</f>
        <v/>
      </c>
      <c r="Q90" s="310" t="s">
        <v>118</v>
      </c>
      <c r="R90" s="308"/>
      <c r="S90" s="309" t="s">
        <v>183</v>
      </c>
      <c r="T90" s="308"/>
      <c r="U90" s="309" t="s">
        <v>184</v>
      </c>
      <c r="V90" s="308"/>
      <c r="W90" s="309" t="s">
        <v>183</v>
      </c>
      <c r="X90" s="308"/>
      <c r="Y90" s="309" t="s">
        <v>120</v>
      </c>
      <c r="Z90" s="309" t="s">
        <v>186</v>
      </c>
      <c r="AA90" s="309" t="str">
        <f t="shared" si="71"/>
        <v/>
      </c>
      <c r="AB90" s="305" t="s">
        <v>187</v>
      </c>
      <c r="AC90" s="306" t="str">
        <f t="shared" si="51"/>
        <v/>
      </c>
      <c r="AD90" s="507"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48" t="str">
        <f>IFERROR(VLOOKUP(K90,【参考】数式用!$A$2:$N$57,14,FALSE),"")</f>
        <v/>
      </c>
      <c r="AP90" s="548" t="str">
        <f t="shared" si="54"/>
        <v/>
      </c>
      <c r="AQ90" s="552" t="str">
        <f t="shared" si="42"/>
        <v/>
      </c>
      <c r="AR90" s="552" t="str">
        <f t="shared" si="70"/>
        <v>キャリアパス要件Ⅰ・Ⅱ_</v>
      </c>
      <c r="AS90" s="531" t="str">
        <f t="shared" si="43"/>
        <v>入力済</v>
      </c>
      <c r="AT90" s="548" t="str">
        <f t="shared" si="55"/>
        <v/>
      </c>
      <c r="AU90" s="531" t="str">
        <f t="shared" si="44"/>
        <v>入力済</v>
      </c>
      <c r="AV90" s="531" t="str">
        <f t="shared" si="45"/>
        <v/>
      </c>
      <c r="AW90" s="531" t="str">
        <f t="shared" si="56"/>
        <v/>
      </c>
      <c r="AX90" s="548" t="str">
        <f t="shared" si="46"/>
        <v/>
      </c>
      <c r="AY90" s="531" t="str">
        <f>IFERROR(VLOOKUP(K90,【参考】数式用!$AR$3:$AS$49, 2, FALSE), "")</f>
        <v/>
      </c>
      <c r="AZ90" s="548" t="str">
        <f t="shared" si="57"/>
        <v/>
      </c>
      <c r="BA90" s="551" t="str">
        <f t="shared" si="47"/>
        <v>入力済</v>
      </c>
      <c r="BB90" s="531" t="str">
        <f>IFERROR(VLOOKUP(K90,【参考】数式用!$AX$3:$AY$59, 2, FALSE), "")</f>
        <v/>
      </c>
      <c r="BC90" s="548" t="str">
        <f t="shared" si="58"/>
        <v/>
      </c>
      <c r="BD90" s="551" t="str">
        <f t="shared" si="48"/>
        <v>入力済</v>
      </c>
      <c r="BE90" s="551" t="str">
        <f t="shared" si="59"/>
        <v/>
      </c>
      <c r="BF90" s="551" t="str">
        <f t="shared" si="60"/>
        <v/>
      </c>
      <c r="BG90" s="551" t="str">
        <f t="shared" si="61"/>
        <v/>
      </c>
      <c r="BH90" s="551" t="str">
        <f t="shared" si="49"/>
        <v/>
      </c>
      <c r="BI90" s="551" t="str">
        <f t="shared" si="50"/>
        <v/>
      </c>
      <c r="BK90" s="27"/>
      <c r="BL90" s="587" t="str">
        <f t="shared" si="62"/>
        <v/>
      </c>
      <c r="BM90" s="587" t="str">
        <f t="shared" si="63"/>
        <v/>
      </c>
      <c r="BN90" s="587" t="str">
        <f t="shared" si="64"/>
        <v/>
      </c>
      <c r="BO90" s="588" t="str">
        <f>IF(BM90="","",ROUNDDOWN(L90*VLOOKUP(K90,【参考】数式用!$A$4:$J$42,10,FALSE)*AA90,0))</f>
        <v/>
      </c>
      <c r="BP90" s="587" t="str">
        <f t="shared" si="65"/>
        <v/>
      </c>
      <c r="BQ90" s="587" t="str">
        <f t="shared" si="66"/>
        <v/>
      </c>
      <c r="BR90" s="589" t="str">
        <f t="shared" si="67"/>
        <v/>
      </c>
      <c r="BS90" s="589" t="str">
        <f t="shared" si="68"/>
        <v/>
      </c>
      <c r="BT90" s="587" t="str">
        <f t="shared" si="69"/>
        <v/>
      </c>
      <c r="BU90" s="588" t="str">
        <f>IF(BT90="Ⅱロ有り",ROUNDDOWN(L90*VLOOKUP(K90,【参考】数式用!$A$4:$J$42,10,FALSE)*AA90,0),"")</f>
        <v/>
      </c>
      <c r="BV90" s="587" t="str">
        <f>IF(BT90="Ⅱロなし",ROUNDDOWN(L90*VLOOKUP(K90,【参考】数式用!$A$4:$J$42,8,FALSE)*AA90,0),"")</f>
        <v/>
      </c>
    </row>
    <row r="91" spans="1:74" ht="109.9" customHeight="1" thickBot="1">
      <c r="A91" s="303">
        <v>78</v>
      </c>
      <c r="B91" s="933" t="str">
        <f>IF(基本情報入力シート!B113="","",基本情報入力シート!B113)</f>
        <v/>
      </c>
      <c r="C91" s="934"/>
      <c r="D91" s="934"/>
      <c r="E91" s="934"/>
      <c r="F91" s="935"/>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49" t="str">
        <f>IF(基本情報入力シート!AF113=0, "",基本情報入力シート!AF113)</f>
        <v/>
      </c>
      <c r="M91" s="516" t="str">
        <f>IF('別紙様式2-2（個票（４、５月））'!M91="","",'別紙様式2-2（個票（４、５月））'!M91)</f>
        <v/>
      </c>
      <c r="N91" s="515" t="str">
        <f>IF('別紙様式2-2（個票（４、５月））'!N91="","",'別紙様式2-2（個票（４、５月））'!N91)</f>
        <v/>
      </c>
      <c r="O91" s="286"/>
      <c r="P91" s="546" t="str">
        <f>IFERROR(VLOOKUP(K91,【参考】数式用!$A$2:$M$57,MATCH(O91,【参考】数式用!$G$3:$M$3,0)+6,0),"")</f>
        <v/>
      </c>
      <c r="Q91" s="310" t="s">
        <v>118</v>
      </c>
      <c r="R91" s="308"/>
      <c r="S91" s="309" t="s">
        <v>183</v>
      </c>
      <c r="T91" s="308"/>
      <c r="U91" s="309" t="s">
        <v>184</v>
      </c>
      <c r="V91" s="308"/>
      <c r="W91" s="309" t="s">
        <v>183</v>
      </c>
      <c r="X91" s="308"/>
      <c r="Y91" s="309" t="s">
        <v>185</v>
      </c>
      <c r="Z91" s="309" t="s">
        <v>186</v>
      </c>
      <c r="AA91" s="309" t="str">
        <f t="shared" si="71"/>
        <v/>
      </c>
      <c r="AB91" s="305" t="s">
        <v>187</v>
      </c>
      <c r="AC91" s="306" t="str">
        <f t="shared" si="51"/>
        <v/>
      </c>
      <c r="AD91" s="507"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48" t="str">
        <f>IFERROR(VLOOKUP(K91,【参考】数式用!$A$2:$N$57,14,FALSE),"")</f>
        <v/>
      </c>
      <c r="AP91" s="548" t="str">
        <f t="shared" si="54"/>
        <v/>
      </c>
      <c r="AQ91" s="552" t="str">
        <f t="shared" si="42"/>
        <v/>
      </c>
      <c r="AR91" s="552" t="str">
        <f t="shared" si="70"/>
        <v>キャリアパス要件Ⅰ・Ⅱ_</v>
      </c>
      <c r="AS91" s="531" t="str">
        <f t="shared" si="43"/>
        <v>入力済</v>
      </c>
      <c r="AT91" s="548" t="str">
        <f t="shared" si="55"/>
        <v/>
      </c>
      <c r="AU91" s="531" t="str">
        <f t="shared" si="44"/>
        <v>入力済</v>
      </c>
      <c r="AV91" s="531" t="str">
        <f t="shared" si="45"/>
        <v/>
      </c>
      <c r="AW91" s="531" t="str">
        <f t="shared" si="56"/>
        <v/>
      </c>
      <c r="AX91" s="548" t="str">
        <f t="shared" si="46"/>
        <v/>
      </c>
      <c r="AY91" s="531" t="str">
        <f>IFERROR(VLOOKUP(K91,【参考】数式用!$AR$3:$AS$49, 2, FALSE), "")</f>
        <v/>
      </c>
      <c r="AZ91" s="548" t="str">
        <f t="shared" si="57"/>
        <v/>
      </c>
      <c r="BA91" s="551" t="str">
        <f t="shared" si="47"/>
        <v>入力済</v>
      </c>
      <c r="BB91" s="531" t="str">
        <f>IFERROR(VLOOKUP(K91,【参考】数式用!$AX$3:$AY$59, 2, FALSE), "")</f>
        <v/>
      </c>
      <c r="BC91" s="548" t="str">
        <f t="shared" si="58"/>
        <v/>
      </c>
      <c r="BD91" s="551" t="str">
        <f t="shared" si="48"/>
        <v>入力済</v>
      </c>
      <c r="BE91" s="551" t="str">
        <f t="shared" si="59"/>
        <v/>
      </c>
      <c r="BF91" s="551" t="str">
        <f t="shared" si="60"/>
        <v/>
      </c>
      <c r="BG91" s="551" t="str">
        <f t="shared" si="61"/>
        <v/>
      </c>
      <c r="BH91" s="551" t="str">
        <f t="shared" si="49"/>
        <v/>
      </c>
      <c r="BI91" s="551" t="str">
        <f t="shared" si="50"/>
        <v/>
      </c>
      <c r="BK91" s="27"/>
      <c r="BL91" s="587" t="str">
        <f t="shared" si="62"/>
        <v/>
      </c>
      <c r="BM91" s="587" t="str">
        <f t="shared" si="63"/>
        <v/>
      </c>
      <c r="BN91" s="587" t="str">
        <f t="shared" si="64"/>
        <v/>
      </c>
      <c r="BO91" s="588" t="str">
        <f>IF(BM91="","",ROUNDDOWN(L91*VLOOKUP(K91,【参考】数式用!$A$4:$J$42,10,FALSE)*AA91,0))</f>
        <v/>
      </c>
      <c r="BP91" s="587" t="str">
        <f t="shared" si="65"/>
        <v/>
      </c>
      <c r="BQ91" s="587" t="str">
        <f t="shared" si="66"/>
        <v/>
      </c>
      <c r="BR91" s="589" t="str">
        <f t="shared" si="67"/>
        <v/>
      </c>
      <c r="BS91" s="589" t="str">
        <f t="shared" si="68"/>
        <v/>
      </c>
      <c r="BT91" s="587" t="str">
        <f t="shared" si="69"/>
        <v/>
      </c>
      <c r="BU91" s="588" t="str">
        <f>IF(BT91="Ⅱロ有り",ROUNDDOWN(L91*VLOOKUP(K91,【参考】数式用!$A$4:$J$42,10,FALSE)*AA91,0),"")</f>
        <v/>
      </c>
      <c r="BV91" s="587" t="str">
        <f>IF(BT91="Ⅱロなし",ROUNDDOWN(L91*VLOOKUP(K91,【参考】数式用!$A$4:$J$42,8,FALSE)*AA91,0),"")</f>
        <v/>
      </c>
    </row>
    <row r="92" spans="1:74" ht="109.9" customHeight="1" thickBot="1">
      <c r="A92" s="303">
        <v>79</v>
      </c>
      <c r="B92" s="933" t="str">
        <f>IF(基本情報入力シート!B114="","",基本情報入力シート!B114)</f>
        <v/>
      </c>
      <c r="C92" s="934"/>
      <c r="D92" s="934"/>
      <c r="E92" s="934"/>
      <c r="F92" s="935"/>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49" t="str">
        <f>IF(基本情報入力シート!AF114=0, "",基本情報入力シート!AF114)</f>
        <v/>
      </c>
      <c r="M92" s="516" t="str">
        <f>IF('別紙様式2-2（個票（４、５月））'!M92="","",'別紙様式2-2（個票（４、５月））'!M92)</f>
        <v/>
      </c>
      <c r="N92" s="515" t="str">
        <f>IF('別紙様式2-2（個票（４、５月））'!N92="","",'別紙様式2-2（個票（４、５月））'!N92)</f>
        <v/>
      </c>
      <c r="O92" s="286"/>
      <c r="P92" s="546" t="str">
        <f>IFERROR(VLOOKUP(K92,【参考】数式用!$A$2:$M$57,MATCH(O92,【参考】数式用!$G$3:$M$3,0)+6,0),"")</f>
        <v/>
      </c>
      <c r="Q92" s="310" t="s">
        <v>118</v>
      </c>
      <c r="R92" s="308"/>
      <c r="S92" s="309" t="s">
        <v>183</v>
      </c>
      <c r="T92" s="308"/>
      <c r="U92" s="309" t="s">
        <v>184</v>
      </c>
      <c r="V92" s="308"/>
      <c r="W92" s="309" t="s">
        <v>183</v>
      </c>
      <c r="X92" s="308"/>
      <c r="Y92" s="309" t="s">
        <v>185</v>
      </c>
      <c r="Z92" s="309" t="s">
        <v>186</v>
      </c>
      <c r="AA92" s="309" t="str">
        <f t="shared" si="71"/>
        <v/>
      </c>
      <c r="AB92" s="305" t="s">
        <v>187</v>
      </c>
      <c r="AC92" s="306" t="str">
        <f t="shared" si="51"/>
        <v/>
      </c>
      <c r="AD92" s="507"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48" t="str">
        <f>IFERROR(VLOOKUP(K92,【参考】数式用!$A$2:$N$57,14,FALSE),"")</f>
        <v/>
      </c>
      <c r="AP92" s="548" t="str">
        <f t="shared" si="54"/>
        <v/>
      </c>
      <c r="AQ92" s="552" t="str">
        <f t="shared" si="42"/>
        <v/>
      </c>
      <c r="AR92" s="552" t="str">
        <f t="shared" si="70"/>
        <v>キャリアパス要件Ⅰ・Ⅱ_</v>
      </c>
      <c r="AS92" s="531" t="str">
        <f t="shared" si="43"/>
        <v>入力済</v>
      </c>
      <c r="AT92" s="548" t="str">
        <f t="shared" si="55"/>
        <v/>
      </c>
      <c r="AU92" s="531" t="str">
        <f t="shared" si="44"/>
        <v>入力済</v>
      </c>
      <c r="AV92" s="531" t="str">
        <f t="shared" si="45"/>
        <v/>
      </c>
      <c r="AW92" s="531" t="str">
        <f t="shared" si="56"/>
        <v/>
      </c>
      <c r="AX92" s="548" t="str">
        <f t="shared" si="46"/>
        <v/>
      </c>
      <c r="AY92" s="531" t="str">
        <f>IFERROR(VLOOKUP(K92,【参考】数式用!$AR$3:$AS$49, 2, FALSE), "")</f>
        <v/>
      </c>
      <c r="AZ92" s="548" t="str">
        <f t="shared" si="57"/>
        <v/>
      </c>
      <c r="BA92" s="551" t="str">
        <f t="shared" si="47"/>
        <v>入力済</v>
      </c>
      <c r="BB92" s="531" t="str">
        <f>IFERROR(VLOOKUP(K92,【参考】数式用!$AX$3:$AY$59, 2, FALSE), "")</f>
        <v/>
      </c>
      <c r="BC92" s="548" t="str">
        <f t="shared" si="58"/>
        <v/>
      </c>
      <c r="BD92" s="551" t="str">
        <f t="shared" si="48"/>
        <v>入力済</v>
      </c>
      <c r="BE92" s="551" t="str">
        <f t="shared" si="59"/>
        <v/>
      </c>
      <c r="BF92" s="551" t="str">
        <f t="shared" si="60"/>
        <v/>
      </c>
      <c r="BG92" s="551" t="str">
        <f t="shared" si="61"/>
        <v/>
      </c>
      <c r="BH92" s="551" t="str">
        <f t="shared" si="49"/>
        <v/>
      </c>
      <c r="BI92" s="551" t="str">
        <f t="shared" si="50"/>
        <v/>
      </c>
      <c r="BK92" s="27"/>
      <c r="BL92" s="587" t="str">
        <f t="shared" si="62"/>
        <v/>
      </c>
      <c r="BM92" s="587" t="str">
        <f t="shared" si="63"/>
        <v/>
      </c>
      <c r="BN92" s="587" t="str">
        <f t="shared" si="64"/>
        <v/>
      </c>
      <c r="BO92" s="588" t="str">
        <f>IF(BM92="","",ROUNDDOWN(L92*VLOOKUP(K92,【参考】数式用!$A$4:$J$42,10,FALSE)*AA92,0))</f>
        <v/>
      </c>
      <c r="BP92" s="587" t="str">
        <f t="shared" si="65"/>
        <v/>
      </c>
      <c r="BQ92" s="587" t="str">
        <f t="shared" si="66"/>
        <v/>
      </c>
      <c r="BR92" s="589" t="str">
        <f t="shared" si="67"/>
        <v/>
      </c>
      <c r="BS92" s="589" t="str">
        <f t="shared" si="68"/>
        <v/>
      </c>
      <c r="BT92" s="587" t="str">
        <f t="shared" si="69"/>
        <v/>
      </c>
      <c r="BU92" s="588" t="str">
        <f>IF(BT92="Ⅱロ有り",ROUNDDOWN(L92*VLOOKUP(K92,【参考】数式用!$A$4:$J$42,10,FALSE)*AA92,0),"")</f>
        <v/>
      </c>
      <c r="BV92" s="587" t="str">
        <f>IF(BT92="Ⅱロなし",ROUNDDOWN(L92*VLOOKUP(K92,【参考】数式用!$A$4:$J$42,8,FALSE)*AA92,0),"")</f>
        <v/>
      </c>
    </row>
    <row r="93" spans="1:74" ht="109.9" customHeight="1" thickBot="1">
      <c r="A93" s="303">
        <v>80</v>
      </c>
      <c r="B93" s="933" t="str">
        <f>IF(基本情報入力シート!B115="","",基本情報入力シート!B115)</f>
        <v/>
      </c>
      <c r="C93" s="934"/>
      <c r="D93" s="934"/>
      <c r="E93" s="934"/>
      <c r="F93" s="935"/>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49" t="str">
        <f>IF(基本情報入力シート!AF115=0, "",基本情報入力シート!AF115)</f>
        <v/>
      </c>
      <c r="M93" s="516" t="str">
        <f>IF('別紙様式2-2（個票（４、５月））'!M93="","",'別紙様式2-2（個票（４、５月））'!M93)</f>
        <v/>
      </c>
      <c r="N93" s="515" t="str">
        <f>IF('別紙様式2-2（個票（４、５月））'!N93="","",'別紙様式2-2（個票（４、５月））'!N93)</f>
        <v/>
      </c>
      <c r="O93" s="286"/>
      <c r="P93" s="546" t="str">
        <f>IFERROR(VLOOKUP(K93,【参考】数式用!$A$2:$M$57,MATCH(O93,【参考】数式用!$G$3:$M$3,0)+6,0),"")</f>
        <v/>
      </c>
      <c r="Q93" s="310" t="s">
        <v>118</v>
      </c>
      <c r="R93" s="308"/>
      <c r="S93" s="309" t="s">
        <v>183</v>
      </c>
      <c r="T93" s="308"/>
      <c r="U93" s="309" t="s">
        <v>184</v>
      </c>
      <c r="V93" s="308"/>
      <c r="W93" s="309" t="s">
        <v>183</v>
      </c>
      <c r="X93" s="308"/>
      <c r="Y93" s="309" t="s">
        <v>185</v>
      </c>
      <c r="Z93" s="309" t="s">
        <v>186</v>
      </c>
      <c r="AA93" s="309" t="str">
        <f t="shared" si="71"/>
        <v/>
      </c>
      <c r="AB93" s="305" t="s">
        <v>187</v>
      </c>
      <c r="AC93" s="306" t="str">
        <f t="shared" si="51"/>
        <v/>
      </c>
      <c r="AD93" s="507"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48" t="str">
        <f>IFERROR(VLOOKUP(K93,【参考】数式用!$A$2:$N$57,14,FALSE),"")</f>
        <v/>
      </c>
      <c r="AP93" s="548" t="str">
        <f t="shared" si="54"/>
        <v/>
      </c>
      <c r="AQ93" s="552" t="str">
        <f t="shared" si="42"/>
        <v/>
      </c>
      <c r="AR93" s="552" t="str">
        <f t="shared" si="70"/>
        <v>キャリアパス要件Ⅰ・Ⅱ_</v>
      </c>
      <c r="AS93" s="531" t="str">
        <f t="shared" si="43"/>
        <v>入力済</v>
      </c>
      <c r="AT93" s="548" t="str">
        <f t="shared" si="55"/>
        <v/>
      </c>
      <c r="AU93" s="531" t="str">
        <f t="shared" si="44"/>
        <v>入力済</v>
      </c>
      <c r="AV93" s="531" t="str">
        <f t="shared" si="45"/>
        <v/>
      </c>
      <c r="AW93" s="531" t="str">
        <f t="shared" si="56"/>
        <v/>
      </c>
      <c r="AX93" s="548" t="str">
        <f t="shared" si="46"/>
        <v/>
      </c>
      <c r="AY93" s="531" t="str">
        <f>IFERROR(VLOOKUP(K93,【参考】数式用!$AR$3:$AS$49, 2, FALSE), "")</f>
        <v/>
      </c>
      <c r="AZ93" s="548" t="str">
        <f t="shared" si="57"/>
        <v/>
      </c>
      <c r="BA93" s="551" t="str">
        <f t="shared" si="47"/>
        <v>入力済</v>
      </c>
      <c r="BB93" s="531" t="str">
        <f>IFERROR(VLOOKUP(K93,【参考】数式用!$AX$3:$AY$59, 2, FALSE), "")</f>
        <v/>
      </c>
      <c r="BC93" s="548" t="str">
        <f t="shared" si="58"/>
        <v/>
      </c>
      <c r="BD93" s="551" t="str">
        <f t="shared" si="48"/>
        <v>入力済</v>
      </c>
      <c r="BE93" s="551" t="str">
        <f t="shared" si="59"/>
        <v/>
      </c>
      <c r="BF93" s="551" t="str">
        <f t="shared" si="60"/>
        <v/>
      </c>
      <c r="BG93" s="551" t="str">
        <f t="shared" si="61"/>
        <v/>
      </c>
      <c r="BH93" s="551" t="str">
        <f t="shared" si="49"/>
        <v/>
      </c>
      <c r="BI93" s="551" t="str">
        <f t="shared" si="50"/>
        <v/>
      </c>
      <c r="BK93" s="27"/>
      <c r="BL93" s="587" t="str">
        <f t="shared" si="62"/>
        <v/>
      </c>
      <c r="BM93" s="587" t="str">
        <f t="shared" si="63"/>
        <v/>
      </c>
      <c r="BN93" s="587" t="str">
        <f t="shared" si="64"/>
        <v/>
      </c>
      <c r="BO93" s="588" t="str">
        <f>IF(BM93="","",ROUNDDOWN(L93*VLOOKUP(K93,【参考】数式用!$A$4:$J$42,10,FALSE)*AA93,0))</f>
        <v/>
      </c>
      <c r="BP93" s="587" t="str">
        <f t="shared" si="65"/>
        <v/>
      </c>
      <c r="BQ93" s="587" t="str">
        <f t="shared" si="66"/>
        <v/>
      </c>
      <c r="BR93" s="589" t="str">
        <f t="shared" si="67"/>
        <v/>
      </c>
      <c r="BS93" s="589" t="str">
        <f t="shared" si="68"/>
        <v/>
      </c>
      <c r="BT93" s="587" t="str">
        <f t="shared" si="69"/>
        <v/>
      </c>
      <c r="BU93" s="588" t="str">
        <f>IF(BT93="Ⅱロ有り",ROUNDDOWN(L93*VLOOKUP(K93,【参考】数式用!$A$4:$J$42,10,FALSE)*AA93,0),"")</f>
        <v/>
      </c>
      <c r="BV93" s="587" t="str">
        <f>IF(BT93="Ⅱロなし",ROUNDDOWN(L93*VLOOKUP(K93,【参考】数式用!$A$4:$J$42,8,FALSE)*AA93,0),"")</f>
        <v/>
      </c>
    </row>
    <row r="94" spans="1:74" ht="109.9" customHeight="1" thickBot="1">
      <c r="A94" s="303">
        <v>81</v>
      </c>
      <c r="B94" s="933" t="str">
        <f>IF(基本情報入力シート!B116="","",基本情報入力シート!B116)</f>
        <v/>
      </c>
      <c r="C94" s="934"/>
      <c r="D94" s="934"/>
      <c r="E94" s="934"/>
      <c r="F94" s="935"/>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49" t="str">
        <f>IF(基本情報入力シート!AF116=0, "",基本情報入力シート!AF116)</f>
        <v/>
      </c>
      <c r="M94" s="516" t="str">
        <f>IF('別紙様式2-2（個票（４、５月））'!M94="","",'別紙様式2-2（個票（４、５月））'!M94)</f>
        <v/>
      </c>
      <c r="N94" s="515" t="str">
        <f>IF('別紙様式2-2（個票（４、５月））'!N94="","",'別紙様式2-2（個票（４、５月））'!N94)</f>
        <v/>
      </c>
      <c r="O94" s="286"/>
      <c r="P94" s="546" t="str">
        <f>IFERROR(VLOOKUP(K94,【参考】数式用!$A$2:$M$57,MATCH(O94,【参考】数式用!$G$3:$M$3,0)+6,0),"")</f>
        <v/>
      </c>
      <c r="Q94" s="310" t="s">
        <v>118</v>
      </c>
      <c r="R94" s="308"/>
      <c r="S94" s="309" t="s">
        <v>183</v>
      </c>
      <c r="T94" s="308"/>
      <c r="U94" s="309" t="s">
        <v>184</v>
      </c>
      <c r="V94" s="308"/>
      <c r="W94" s="309" t="s">
        <v>183</v>
      </c>
      <c r="X94" s="308"/>
      <c r="Y94" s="309" t="s">
        <v>120</v>
      </c>
      <c r="Z94" s="309" t="s">
        <v>186</v>
      </c>
      <c r="AA94" s="309" t="str">
        <f t="shared" si="71"/>
        <v/>
      </c>
      <c r="AB94" s="305" t="s">
        <v>187</v>
      </c>
      <c r="AC94" s="306" t="str">
        <f t="shared" si="51"/>
        <v/>
      </c>
      <c r="AD94" s="507"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48" t="str">
        <f>IFERROR(VLOOKUP(K94,【参考】数式用!$A$2:$N$57,14,FALSE),"")</f>
        <v/>
      </c>
      <c r="AP94" s="548" t="str">
        <f t="shared" si="54"/>
        <v/>
      </c>
      <c r="AQ94" s="552" t="str">
        <f t="shared" si="42"/>
        <v/>
      </c>
      <c r="AR94" s="552" t="str">
        <f t="shared" si="70"/>
        <v>キャリアパス要件Ⅰ・Ⅱ_</v>
      </c>
      <c r="AS94" s="531" t="str">
        <f t="shared" si="43"/>
        <v>入力済</v>
      </c>
      <c r="AT94" s="548" t="str">
        <f t="shared" si="55"/>
        <v/>
      </c>
      <c r="AU94" s="531" t="str">
        <f t="shared" si="44"/>
        <v>入力済</v>
      </c>
      <c r="AV94" s="531" t="str">
        <f t="shared" si="45"/>
        <v/>
      </c>
      <c r="AW94" s="531" t="str">
        <f t="shared" si="56"/>
        <v/>
      </c>
      <c r="AX94" s="548" t="str">
        <f t="shared" si="46"/>
        <v/>
      </c>
      <c r="AY94" s="531" t="str">
        <f>IFERROR(VLOOKUP(K94,【参考】数式用!$AR$3:$AS$49, 2, FALSE), "")</f>
        <v/>
      </c>
      <c r="AZ94" s="548" t="str">
        <f t="shared" si="57"/>
        <v/>
      </c>
      <c r="BA94" s="551" t="str">
        <f t="shared" si="47"/>
        <v>入力済</v>
      </c>
      <c r="BB94" s="531" t="str">
        <f>IFERROR(VLOOKUP(K94,【参考】数式用!$AX$3:$AY$59, 2, FALSE), "")</f>
        <v/>
      </c>
      <c r="BC94" s="548" t="str">
        <f t="shared" si="58"/>
        <v/>
      </c>
      <c r="BD94" s="551" t="str">
        <f t="shared" si="48"/>
        <v>入力済</v>
      </c>
      <c r="BE94" s="551" t="str">
        <f t="shared" si="59"/>
        <v/>
      </c>
      <c r="BF94" s="551" t="str">
        <f t="shared" si="60"/>
        <v/>
      </c>
      <c r="BG94" s="551" t="str">
        <f t="shared" si="61"/>
        <v/>
      </c>
      <c r="BH94" s="551" t="str">
        <f t="shared" si="49"/>
        <v/>
      </c>
      <c r="BI94" s="551" t="str">
        <f t="shared" si="50"/>
        <v/>
      </c>
      <c r="BK94" s="27"/>
      <c r="BL94" s="587" t="str">
        <f t="shared" si="62"/>
        <v/>
      </c>
      <c r="BM94" s="587" t="str">
        <f t="shared" si="63"/>
        <v/>
      </c>
      <c r="BN94" s="587" t="str">
        <f t="shared" si="64"/>
        <v/>
      </c>
      <c r="BO94" s="588" t="str">
        <f>IF(BM94="","",ROUNDDOWN(L94*VLOOKUP(K94,【参考】数式用!$A$4:$J$42,10,FALSE)*AA94,0))</f>
        <v/>
      </c>
      <c r="BP94" s="587" t="str">
        <f t="shared" si="65"/>
        <v/>
      </c>
      <c r="BQ94" s="587" t="str">
        <f t="shared" si="66"/>
        <v/>
      </c>
      <c r="BR94" s="589" t="str">
        <f t="shared" si="67"/>
        <v/>
      </c>
      <c r="BS94" s="589" t="str">
        <f t="shared" si="68"/>
        <v/>
      </c>
      <c r="BT94" s="587" t="str">
        <f t="shared" si="69"/>
        <v/>
      </c>
      <c r="BU94" s="588" t="str">
        <f>IF(BT94="Ⅱロ有り",ROUNDDOWN(L94*VLOOKUP(K94,【参考】数式用!$A$4:$J$42,10,FALSE)*AA94,0),"")</f>
        <v/>
      </c>
      <c r="BV94" s="587" t="str">
        <f>IF(BT94="Ⅱロなし",ROUNDDOWN(L94*VLOOKUP(K94,【参考】数式用!$A$4:$J$42,8,FALSE)*AA94,0),"")</f>
        <v/>
      </c>
    </row>
    <row r="95" spans="1:74" ht="109.9" customHeight="1" thickBot="1">
      <c r="A95" s="303">
        <v>82</v>
      </c>
      <c r="B95" s="933" t="str">
        <f>IF(基本情報入力シート!B117="","",基本情報入力シート!B117)</f>
        <v/>
      </c>
      <c r="C95" s="934"/>
      <c r="D95" s="934"/>
      <c r="E95" s="934"/>
      <c r="F95" s="935"/>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49" t="str">
        <f>IF(基本情報入力シート!AF117=0, "",基本情報入力シート!AF117)</f>
        <v/>
      </c>
      <c r="M95" s="516" t="str">
        <f>IF('別紙様式2-2（個票（４、５月））'!M95="","",'別紙様式2-2（個票（４、５月））'!M95)</f>
        <v/>
      </c>
      <c r="N95" s="515" t="str">
        <f>IF('別紙様式2-2（個票（４、５月））'!N95="","",'別紙様式2-2（個票（４、５月））'!N95)</f>
        <v/>
      </c>
      <c r="O95" s="286"/>
      <c r="P95" s="546" t="str">
        <f>IFERROR(VLOOKUP(K95,【参考】数式用!$A$2:$M$57,MATCH(O95,【参考】数式用!$G$3:$M$3,0)+6,0),"")</f>
        <v/>
      </c>
      <c r="Q95" s="310" t="s">
        <v>118</v>
      </c>
      <c r="R95" s="308"/>
      <c r="S95" s="309" t="s">
        <v>183</v>
      </c>
      <c r="T95" s="308"/>
      <c r="U95" s="309" t="s">
        <v>184</v>
      </c>
      <c r="V95" s="308"/>
      <c r="W95" s="309" t="s">
        <v>183</v>
      </c>
      <c r="X95" s="308"/>
      <c r="Y95" s="309" t="s">
        <v>185</v>
      </c>
      <c r="Z95" s="309" t="s">
        <v>186</v>
      </c>
      <c r="AA95" s="309" t="str">
        <f t="shared" si="71"/>
        <v/>
      </c>
      <c r="AB95" s="305" t="s">
        <v>187</v>
      </c>
      <c r="AC95" s="306" t="str">
        <f t="shared" si="51"/>
        <v/>
      </c>
      <c r="AD95" s="507"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48" t="str">
        <f>IFERROR(VLOOKUP(K95,【参考】数式用!$A$2:$N$57,14,FALSE),"")</f>
        <v/>
      </c>
      <c r="AP95" s="548" t="str">
        <f t="shared" si="54"/>
        <v/>
      </c>
      <c r="AQ95" s="552" t="str">
        <f t="shared" si="42"/>
        <v/>
      </c>
      <c r="AR95" s="552" t="str">
        <f t="shared" si="70"/>
        <v>キャリアパス要件Ⅰ・Ⅱ_</v>
      </c>
      <c r="AS95" s="531" t="str">
        <f t="shared" si="43"/>
        <v>入力済</v>
      </c>
      <c r="AT95" s="548" t="str">
        <f t="shared" si="55"/>
        <v/>
      </c>
      <c r="AU95" s="531" t="str">
        <f t="shared" si="44"/>
        <v>入力済</v>
      </c>
      <c r="AV95" s="531" t="str">
        <f t="shared" si="45"/>
        <v/>
      </c>
      <c r="AW95" s="531" t="str">
        <f t="shared" si="56"/>
        <v/>
      </c>
      <c r="AX95" s="548" t="str">
        <f t="shared" si="46"/>
        <v/>
      </c>
      <c r="AY95" s="531" t="str">
        <f>IFERROR(VLOOKUP(K95,【参考】数式用!$AR$3:$AS$49, 2, FALSE), "")</f>
        <v/>
      </c>
      <c r="AZ95" s="548" t="str">
        <f t="shared" si="57"/>
        <v/>
      </c>
      <c r="BA95" s="551" t="str">
        <f t="shared" si="47"/>
        <v>入力済</v>
      </c>
      <c r="BB95" s="531" t="str">
        <f>IFERROR(VLOOKUP(K95,【参考】数式用!$AX$3:$AY$59, 2, FALSE), "")</f>
        <v/>
      </c>
      <c r="BC95" s="548" t="str">
        <f t="shared" si="58"/>
        <v/>
      </c>
      <c r="BD95" s="551" t="str">
        <f t="shared" si="48"/>
        <v>入力済</v>
      </c>
      <c r="BE95" s="551" t="str">
        <f t="shared" si="59"/>
        <v/>
      </c>
      <c r="BF95" s="551" t="str">
        <f t="shared" si="60"/>
        <v/>
      </c>
      <c r="BG95" s="551" t="str">
        <f t="shared" si="61"/>
        <v/>
      </c>
      <c r="BH95" s="551" t="str">
        <f t="shared" si="49"/>
        <v/>
      </c>
      <c r="BI95" s="551" t="str">
        <f t="shared" si="50"/>
        <v/>
      </c>
      <c r="BK95" s="27"/>
      <c r="BL95" s="587" t="str">
        <f t="shared" si="62"/>
        <v/>
      </c>
      <c r="BM95" s="587" t="str">
        <f t="shared" si="63"/>
        <v/>
      </c>
      <c r="BN95" s="587" t="str">
        <f t="shared" si="64"/>
        <v/>
      </c>
      <c r="BO95" s="588" t="str">
        <f>IF(BM95="","",ROUNDDOWN(L95*VLOOKUP(K95,【参考】数式用!$A$4:$J$42,10,FALSE)*AA95,0))</f>
        <v/>
      </c>
      <c r="BP95" s="587" t="str">
        <f t="shared" si="65"/>
        <v/>
      </c>
      <c r="BQ95" s="587" t="str">
        <f t="shared" si="66"/>
        <v/>
      </c>
      <c r="BR95" s="589" t="str">
        <f t="shared" si="67"/>
        <v/>
      </c>
      <c r="BS95" s="589" t="str">
        <f t="shared" si="68"/>
        <v/>
      </c>
      <c r="BT95" s="587" t="str">
        <f t="shared" si="69"/>
        <v/>
      </c>
      <c r="BU95" s="588" t="str">
        <f>IF(BT95="Ⅱロ有り",ROUNDDOWN(L95*VLOOKUP(K95,【参考】数式用!$A$4:$J$42,10,FALSE)*AA95,0),"")</f>
        <v/>
      </c>
      <c r="BV95" s="587" t="str">
        <f>IF(BT95="Ⅱロなし",ROUNDDOWN(L95*VLOOKUP(K95,【参考】数式用!$A$4:$J$42,8,FALSE)*AA95,0),"")</f>
        <v/>
      </c>
    </row>
    <row r="96" spans="1:74" ht="109.9" customHeight="1" thickBot="1">
      <c r="A96" s="303">
        <v>83</v>
      </c>
      <c r="B96" s="933" t="str">
        <f>IF(基本情報入力シート!B118="","",基本情報入力シート!B118)</f>
        <v/>
      </c>
      <c r="C96" s="934"/>
      <c r="D96" s="934"/>
      <c r="E96" s="934"/>
      <c r="F96" s="935"/>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49" t="str">
        <f>IF(基本情報入力シート!AF118=0, "",基本情報入力シート!AF118)</f>
        <v/>
      </c>
      <c r="M96" s="516" t="str">
        <f>IF('別紙様式2-2（個票（４、５月））'!M96="","",'別紙様式2-2（個票（４、５月））'!M96)</f>
        <v/>
      </c>
      <c r="N96" s="515" t="str">
        <f>IF('別紙様式2-2（個票（４、５月））'!N96="","",'別紙様式2-2（個票（４、５月））'!N96)</f>
        <v/>
      </c>
      <c r="O96" s="286"/>
      <c r="P96" s="546" t="str">
        <f>IFERROR(VLOOKUP(K96,【参考】数式用!$A$2:$M$57,MATCH(O96,【参考】数式用!$G$3:$M$3,0)+6,0),"")</f>
        <v/>
      </c>
      <c r="Q96" s="310" t="s">
        <v>118</v>
      </c>
      <c r="R96" s="308"/>
      <c r="S96" s="309" t="s">
        <v>183</v>
      </c>
      <c r="T96" s="308"/>
      <c r="U96" s="309" t="s">
        <v>184</v>
      </c>
      <c r="V96" s="308"/>
      <c r="W96" s="309" t="s">
        <v>183</v>
      </c>
      <c r="X96" s="308"/>
      <c r="Y96" s="309" t="s">
        <v>185</v>
      </c>
      <c r="Z96" s="309" t="s">
        <v>186</v>
      </c>
      <c r="AA96" s="309" t="str">
        <f t="shared" si="71"/>
        <v/>
      </c>
      <c r="AB96" s="305" t="s">
        <v>187</v>
      </c>
      <c r="AC96" s="306" t="str">
        <f t="shared" si="51"/>
        <v/>
      </c>
      <c r="AD96" s="507"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48" t="str">
        <f>IFERROR(VLOOKUP(K96,【参考】数式用!$A$2:$N$57,14,FALSE),"")</f>
        <v/>
      </c>
      <c r="AP96" s="548" t="str">
        <f t="shared" si="54"/>
        <v/>
      </c>
      <c r="AQ96" s="552" t="str">
        <f t="shared" si="42"/>
        <v/>
      </c>
      <c r="AR96" s="552" t="str">
        <f t="shared" si="70"/>
        <v>キャリアパス要件Ⅰ・Ⅱ_</v>
      </c>
      <c r="AS96" s="531" t="str">
        <f t="shared" si="43"/>
        <v>入力済</v>
      </c>
      <c r="AT96" s="548" t="str">
        <f t="shared" si="55"/>
        <v/>
      </c>
      <c r="AU96" s="531" t="str">
        <f t="shared" si="44"/>
        <v>入力済</v>
      </c>
      <c r="AV96" s="531" t="str">
        <f t="shared" si="45"/>
        <v/>
      </c>
      <c r="AW96" s="531" t="str">
        <f t="shared" si="56"/>
        <v/>
      </c>
      <c r="AX96" s="548" t="str">
        <f t="shared" si="46"/>
        <v/>
      </c>
      <c r="AY96" s="531" t="str">
        <f>IFERROR(VLOOKUP(K96,【参考】数式用!$AR$3:$AS$49, 2, FALSE), "")</f>
        <v/>
      </c>
      <c r="AZ96" s="548" t="str">
        <f t="shared" si="57"/>
        <v/>
      </c>
      <c r="BA96" s="551" t="str">
        <f t="shared" si="47"/>
        <v>入力済</v>
      </c>
      <c r="BB96" s="531" t="str">
        <f>IFERROR(VLOOKUP(K96,【参考】数式用!$AX$3:$AY$59, 2, FALSE), "")</f>
        <v/>
      </c>
      <c r="BC96" s="548" t="str">
        <f t="shared" si="58"/>
        <v/>
      </c>
      <c r="BD96" s="551" t="str">
        <f t="shared" si="48"/>
        <v>入力済</v>
      </c>
      <c r="BE96" s="551" t="str">
        <f t="shared" si="59"/>
        <v/>
      </c>
      <c r="BF96" s="551" t="str">
        <f t="shared" si="60"/>
        <v/>
      </c>
      <c r="BG96" s="551" t="str">
        <f t="shared" si="61"/>
        <v/>
      </c>
      <c r="BH96" s="551" t="str">
        <f t="shared" si="49"/>
        <v/>
      </c>
      <c r="BI96" s="551" t="str">
        <f t="shared" si="50"/>
        <v/>
      </c>
      <c r="BK96" s="27"/>
      <c r="BL96" s="587" t="str">
        <f t="shared" si="62"/>
        <v/>
      </c>
      <c r="BM96" s="587" t="str">
        <f t="shared" si="63"/>
        <v/>
      </c>
      <c r="BN96" s="587" t="str">
        <f t="shared" si="64"/>
        <v/>
      </c>
      <c r="BO96" s="588" t="str">
        <f>IF(BM96="","",ROUNDDOWN(L96*VLOOKUP(K96,【参考】数式用!$A$4:$J$42,10,FALSE)*AA96,0))</f>
        <v/>
      </c>
      <c r="BP96" s="587" t="str">
        <f t="shared" si="65"/>
        <v/>
      </c>
      <c r="BQ96" s="587" t="str">
        <f t="shared" si="66"/>
        <v/>
      </c>
      <c r="BR96" s="589" t="str">
        <f t="shared" si="67"/>
        <v/>
      </c>
      <c r="BS96" s="589" t="str">
        <f t="shared" si="68"/>
        <v/>
      </c>
      <c r="BT96" s="587" t="str">
        <f t="shared" si="69"/>
        <v/>
      </c>
      <c r="BU96" s="588" t="str">
        <f>IF(BT96="Ⅱロ有り",ROUNDDOWN(L96*VLOOKUP(K96,【参考】数式用!$A$4:$J$42,10,FALSE)*AA96,0),"")</f>
        <v/>
      </c>
      <c r="BV96" s="587" t="str">
        <f>IF(BT96="Ⅱロなし",ROUNDDOWN(L96*VLOOKUP(K96,【参考】数式用!$A$4:$J$42,8,FALSE)*AA96,0),"")</f>
        <v/>
      </c>
    </row>
    <row r="97" spans="1:74" ht="109.9" customHeight="1" thickBot="1">
      <c r="A97" s="303">
        <v>84</v>
      </c>
      <c r="B97" s="933" t="str">
        <f>IF(基本情報入力シート!B119="","",基本情報入力シート!B119)</f>
        <v/>
      </c>
      <c r="C97" s="934"/>
      <c r="D97" s="934"/>
      <c r="E97" s="934"/>
      <c r="F97" s="935"/>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49" t="str">
        <f>IF(基本情報入力シート!AF119=0, "",基本情報入力シート!AF119)</f>
        <v/>
      </c>
      <c r="M97" s="516" t="str">
        <f>IF('別紙様式2-2（個票（４、５月））'!M97="","",'別紙様式2-2（個票（４、５月））'!M97)</f>
        <v/>
      </c>
      <c r="N97" s="515" t="str">
        <f>IF('別紙様式2-2（個票（４、５月））'!N97="","",'別紙様式2-2（個票（４、５月））'!N97)</f>
        <v/>
      </c>
      <c r="O97" s="286"/>
      <c r="P97" s="546" t="str">
        <f>IFERROR(VLOOKUP(K97,【参考】数式用!$A$2:$M$57,MATCH(O97,【参考】数式用!$G$3:$M$3,0)+6,0),"")</f>
        <v/>
      </c>
      <c r="Q97" s="310" t="s">
        <v>118</v>
      </c>
      <c r="R97" s="308"/>
      <c r="S97" s="309" t="s">
        <v>183</v>
      </c>
      <c r="T97" s="308"/>
      <c r="U97" s="309" t="s">
        <v>184</v>
      </c>
      <c r="V97" s="308"/>
      <c r="W97" s="309" t="s">
        <v>183</v>
      </c>
      <c r="X97" s="308"/>
      <c r="Y97" s="309" t="s">
        <v>185</v>
      </c>
      <c r="Z97" s="309" t="s">
        <v>186</v>
      </c>
      <c r="AA97" s="309" t="str">
        <f t="shared" si="71"/>
        <v/>
      </c>
      <c r="AB97" s="305" t="s">
        <v>187</v>
      </c>
      <c r="AC97" s="306" t="str">
        <f t="shared" si="51"/>
        <v/>
      </c>
      <c r="AD97" s="507"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48" t="str">
        <f>IFERROR(VLOOKUP(K97,【参考】数式用!$A$2:$N$57,14,FALSE),"")</f>
        <v/>
      </c>
      <c r="AP97" s="548" t="str">
        <f t="shared" si="54"/>
        <v/>
      </c>
      <c r="AQ97" s="552" t="str">
        <f t="shared" si="42"/>
        <v/>
      </c>
      <c r="AR97" s="552" t="str">
        <f t="shared" si="70"/>
        <v>キャリアパス要件Ⅰ・Ⅱ_</v>
      </c>
      <c r="AS97" s="531" t="str">
        <f t="shared" si="43"/>
        <v>入力済</v>
      </c>
      <c r="AT97" s="548" t="str">
        <f t="shared" si="55"/>
        <v/>
      </c>
      <c r="AU97" s="531" t="str">
        <f t="shared" si="44"/>
        <v>入力済</v>
      </c>
      <c r="AV97" s="531" t="str">
        <f t="shared" si="45"/>
        <v/>
      </c>
      <c r="AW97" s="531" t="str">
        <f t="shared" si="56"/>
        <v/>
      </c>
      <c r="AX97" s="548" t="str">
        <f t="shared" si="46"/>
        <v/>
      </c>
      <c r="AY97" s="531" t="str">
        <f>IFERROR(VLOOKUP(K97,【参考】数式用!$AR$3:$AS$49, 2, FALSE), "")</f>
        <v/>
      </c>
      <c r="AZ97" s="548" t="str">
        <f t="shared" si="57"/>
        <v/>
      </c>
      <c r="BA97" s="551" t="str">
        <f t="shared" si="47"/>
        <v>入力済</v>
      </c>
      <c r="BB97" s="531" t="str">
        <f>IFERROR(VLOOKUP(K97,【参考】数式用!$AX$3:$AY$59, 2, FALSE), "")</f>
        <v/>
      </c>
      <c r="BC97" s="548" t="str">
        <f t="shared" si="58"/>
        <v/>
      </c>
      <c r="BD97" s="551" t="str">
        <f t="shared" si="48"/>
        <v>入力済</v>
      </c>
      <c r="BE97" s="551" t="str">
        <f t="shared" si="59"/>
        <v/>
      </c>
      <c r="BF97" s="551" t="str">
        <f t="shared" si="60"/>
        <v/>
      </c>
      <c r="BG97" s="551" t="str">
        <f t="shared" si="61"/>
        <v/>
      </c>
      <c r="BH97" s="551" t="str">
        <f t="shared" si="49"/>
        <v/>
      </c>
      <c r="BI97" s="551" t="str">
        <f t="shared" si="50"/>
        <v/>
      </c>
      <c r="BK97" s="27"/>
      <c r="BL97" s="587" t="str">
        <f t="shared" si="62"/>
        <v/>
      </c>
      <c r="BM97" s="587" t="str">
        <f t="shared" si="63"/>
        <v/>
      </c>
      <c r="BN97" s="587" t="str">
        <f t="shared" si="64"/>
        <v/>
      </c>
      <c r="BO97" s="588" t="str">
        <f>IF(BM97="","",ROUNDDOWN(L97*VLOOKUP(K97,【参考】数式用!$A$4:$J$42,10,FALSE)*AA97,0))</f>
        <v/>
      </c>
      <c r="BP97" s="587" t="str">
        <f t="shared" si="65"/>
        <v/>
      </c>
      <c r="BQ97" s="587" t="str">
        <f t="shared" si="66"/>
        <v/>
      </c>
      <c r="BR97" s="589" t="str">
        <f t="shared" si="67"/>
        <v/>
      </c>
      <c r="BS97" s="589" t="str">
        <f t="shared" si="68"/>
        <v/>
      </c>
      <c r="BT97" s="587" t="str">
        <f t="shared" si="69"/>
        <v/>
      </c>
      <c r="BU97" s="588" t="str">
        <f>IF(BT97="Ⅱロ有り",ROUNDDOWN(L97*VLOOKUP(K97,【参考】数式用!$A$4:$J$42,10,FALSE)*AA97,0),"")</f>
        <v/>
      </c>
      <c r="BV97" s="587" t="str">
        <f>IF(BT97="Ⅱロなし",ROUNDDOWN(L97*VLOOKUP(K97,【参考】数式用!$A$4:$J$42,8,FALSE)*AA97,0),"")</f>
        <v/>
      </c>
    </row>
    <row r="98" spans="1:74" ht="109.9" customHeight="1" thickBot="1">
      <c r="A98" s="303">
        <v>85</v>
      </c>
      <c r="B98" s="933" t="str">
        <f>IF(基本情報入力シート!B120="","",基本情報入力シート!B120)</f>
        <v/>
      </c>
      <c r="C98" s="934"/>
      <c r="D98" s="934"/>
      <c r="E98" s="934"/>
      <c r="F98" s="935"/>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49" t="str">
        <f>IF(基本情報入力シート!AF120=0, "",基本情報入力シート!AF120)</f>
        <v/>
      </c>
      <c r="M98" s="516" t="str">
        <f>IF('別紙様式2-2（個票（４、５月））'!M98="","",'別紙様式2-2（個票（４、５月））'!M98)</f>
        <v/>
      </c>
      <c r="N98" s="515" t="str">
        <f>IF('別紙様式2-2（個票（４、５月））'!N98="","",'別紙様式2-2（個票（４、５月））'!N98)</f>
        <v/>
      </c>
      <c r="O98" s="286"/>
      <c r="P98" s="546" t="str">
        <f>IFERROR(VLOOKUP(K98,【参考】数式用!$A$2:$M$57,MATCH(O98,【参考】数式用!$G$3:$M$3,0)+6,0),"")</f>
        <v/>
      </c>
      <c r="Q98" s="310" t="s">
        <v>118</v>
      </c>
      <c r="R98" s="308"/>
      <c r="S98" s="309" t="s">
        <v>183</v>
      </c>
      <c r="T98" s="308"/>
      <c r="U98" s="309" t="s">
        <v>184</v>
      </c>
      <c r="V98" s="308"/>
      <c r="W98" s="309" t="s">
        <v>183</v>
      </c>
      <c r="X98" s="308"/>
      <c r="Y98" s="309" t="s">
        <v>120</v>
      </c>
      <c r="Z98" s="309" t="s">
        <v>186</v>
      </c>
      <c r="AA98" s="309" t="str">
        <f t="shared" si="71"/>
        <v/>
      </c>
      <c r="AB98" s="305" t="s">
        <v>187</v>
      </c>
      <c r="AC98" s="306" t="str">
        <f t="shared" si="51"/>
        <v/>
      </c>
      <c r="AD98" s="507"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48" t="str">
        <f>IFERROR(VLOOKUP(K98,【参考】数式用!$A$2:$N$57,14,FALSE),"")</f>
        <v/>
      </c>
      <c r="AP98" s="548" t="str">
        <f t="shared" si="54"/>
        <v/>
      </c>
      <c r="AQ98" s="552" t="str">
        <f t="shared" si="42"/>
        <v/>
      </c>
      <c r="AR98" s="552" t="str">
        <f t="shared" si="70"/>
        <v>キャリアパス要件Ⅰ・Ⅱ_</v>
      </c>
      <c r="AS98" s="531" t="str">
        <f t="shared" si="43"/>
        <v>入力済</v>
      </c>
      <c r="AT98" s="548" t="str">
        <f t="shared" si="55"/>
        <v/>
      </c>
      <c r="AU98" s="531" t="str">
        <f t="shared" si="44"/>
        <v>入力済</v>
      </c>
      <c r="AV98" s="531" t="str">
        <f t="shared" si="45"/>
        <v/>
      </c>
      <c r="AW98" s="531" t="str">
        <f t="shared" si="56"/>
        <v/>
      </c>
      <c r="AX98" s="548" t="str">
        <f t="shared" si="46"/>
        <v/>
      </c>
      <c r="AY98" s="531" t="str">
        <f>IFERROR(VLOOKUP(K98,【参考】数式用!$AR$3:$AS$49, 2, FALSE), "")</f>
        <v/>
      </c>
      <c r="AZ98" s="548" t="str">
        <f t="shared" si="57"/>
        <v/>
      </c>
      <c r="BA98" s="551" t="str">
        <f t="shared" si="47"/>
        <v>入力済</v>
      </c>
      <c r="BB98" s="531" t="str">
        <f>IFERROR(VLOOKUP(K98,【参考】数式用!$AX$3:$AY$59, 2, FALSE), "")</f>
        <v/>
      </c>
      <c r="BC98" s="548" t="str">
        <f t="shared" si="58"/>
        <v/>
      </c>
      <c r="BD98" s="551" t="str">
        <f t="shared" si="48"/>
        <v>入力済</v>
      </c>
      <c r="BE98" s="551" t="str">
        <f t="shared" si="59"/>
        <v/>
      </c>
      <c r="BF98" s="551" t="str">
        <f t="shared" si="60"/>
        <v/>
      </c>
      <c r="BG98" s="551" t="str">
        <f t="shared" si="61"/>
        <v/>
      </c>
      <c r="BH98" s="551" t="str">
        <f t="shared" si="49"/>
        <v/>
      </c>
      <c r="BI98" s="551" t="str">
        <f t="shared" si="50"/>
        <v/>
      </c>
      <c r="BK98" s="27"/>
      <c r="BL98" s="587" t="str">
        <f t="shared" si="62"/>
        <v/>
      </c>
      <c r="BM98" s="587" t="str">
        <f t="shared" si="63"/>
        <v/>
      </c>
      <c r="BN98" s="587" t="str">
        <f t="shared" si="64"/>
        <v/>
      </c>
      <c r="BO98" s="588" t="str">
        <f>IF(BM98="","",ROUNDDOWN(L98*VLOOKUP(K98,【参考】数式用!$A$4:$J$42,10,FALSE)*AA98,0))</f>
        <v/>
      </c>
      <c r="BP98" s="587" t="str">
        <f t="shared" si="65"/>
        <v/>
      </c>
      <c r="BQ98" s="587" t="str">
        <f t="shared" si="66"/>
        <v/>
      </c>
      <c r="BR98" s="589" t="str">
        <f t="shared" si="67"/>
        <v/>
      </c>
      <c r="BS98" s="589" t="str">
        <f t="shared" si="68"/>
        <v/>
      </c>
      <c r="BT98" s="587" t="str">
        <f t="shared" si="69"/>
        <v/>
      </c>
      <c r="BU98" s="588" t="str">
        <f>IF(BT98="Ⅱロ有り",ROUNDDOWN(L98*VLOOKUP(K98,【参考】数式用!$A$4:$J$42,10,FALSE)*AA98,0),"")</f>
        <v/>
      </c>
      <c r="BV98" s="587" t="str">
        <f>IF(BT98="Ⅱロなし",ROUNDDOWN(L98*VLOOKUP(K98,【参考】数式用!$A$4:$J$42,8,FALSE)*AA98,0),"")</f>
        <v/>
      </c>
    </row>
    <row r="99" spans="1:74" ht="109.9" customHeight="1" thickBot="1">
      <c r="A99" s="303">
        <v>86</v>
      </c>
      <c r="B99" s="933" t="str">
        <f>IF(基本情報入力シート!B121="","",基本情報入力シート!B121)</f>
        <v/>
      </c>
      <c r="C99" s="934"/>
      <c r="D99" s="934"/>
      <c r="E99" s="934"/>
      <c r="F99" s="935"/>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49" t="str">
        <f>IF(基本情報入力シート!AF121=0, "",基本情報入力シート!AF121)</f>
        <v/>
      </c>
      <c r="M99" s="516" t="str">
        <f>IF('別紙様式2-2（個票（４、５月））'!M99="","",'別紙様式2-2（個票（４、５月））'!M99)</f>
        <v/>
      </c>
      <c r="N99" s="515" t="str">
        <f>IF('別紙様式2-2（個票（４、５月））'!N99="","",'別紙様式2-2（個票（４、５月））'!N99)</f>
        <v/>
      </c>
      <c r="O99" s="286"/>
      <c r="P99" s="546" t="str">
        <f>IFERROR(VLOOKUP(K99,【参考】数式用!$A$2:$M$57,MATCH(O99,【参考】数式用!$G$3:$M$3,0)+6,0),"")</f>
        <v/>
      </c>
      <c r="Q99" s="310" t="s">
        <v>118</v>
      </c>
      <c r="R99" s="308"/>
      <c r="S99" s="309" t="s">
        <v>183</v>
      </c>
      <c r="T99" s="308"/>
      <c r="U99" s="309" t="s">
        <v>184</v>
      </c>
      <c r="V99" s="308"/>
      <c r="W99" s="309" t="s">
        <v>183</v>
      </c>
      <c r="X99" s="308"/>
      <c r="Y99" s="309" t="s">
        <v>120</v>
      </c>
      <c r="Z99" s="309" t="s">
        <v>186</v>
      </c>
      <c r="AA99" s="309" t="str">
        <f t="shared" si="71"/>
        <v/>
      </c>
      <c r="AB99" s="305" t="s">
        <v>187</v>
      </c>
      <c r="AC99" s="306" t="str">
        <f t="shared" si="51"/>
        <v/>
      </c>
      <c r="AD99" s="507"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48" t="str">
        <f>IFERROR(VLOOKUP(K99,【参考】数式用!$A$2:$N$57,14,FALSE),"")</f>
        <v/>
      </c>
      <c r="AP99" s="548" t="str">
        <f t="shared" si="54"/>
        <v/>
      </c>
      <c r="AQ99" s="552" t="str">
        <f t="shared" si="42"/>
        <v/>
      </c>
      <c r="AR99" s="552" t="str">
        <f t="shared" si="70"/>
        <v>キャリアパス要件Ⅰ・Ⅱ_</v>
      </c>
      <c r="AS99" s="531" t="str">
        <f t="shared" si="43"/>
        <v>入力済</v>
      </c>
      <c r="AT99" s="548" t="str">
        <f t="shared" si="55"/>
        <v/>
      </c>
      <c r="AU99" s="531" t="str">
        <f t="shared" si="44"/>
        <v>入力済</v>
      </c>
      <c r="AV99" s="531" t="str">
        <f t="shared" si="45"/>
        <v/>
      </c>
      <c r="AW99" s="531" t="str">
        <f t="shared" si="56"/>
        <v/>
      </c>
      <c r="AX99" s="548" t="str">
        <f t="shared" si="46"/>
        <v/>
      </c>
      <c r="AY99" s="531" t="str">
        <f>IFERROR(VLOOKUP(K99,【参考】数式用!$AR$3:$AS$49, 2, FALSE), "")</f>
        <v/>
      </c>
      <c r="AZ99" s="548" t="str">
        <f t="shared" si="57"/>
        <v/>
      </c>
      <c r="BA99" s="551" t="str">
        <f t="shared" si="47"/>
        <v>入力済</v>
      </c>
      <c r="BB99" s="531" t="str">
        <f>IFERROR(VLOOKUP(K99,【参考】数式用!$AX$3:$AY$59, 2, FALSE), "")</f>
        <v/>
      </c>
      <c r="BC99" s="548" t="str">
        <f t="shared" si="58"/>
        <v/>
      </c>
      <c r="BD99" s="551" t="str">
        <f t="shared" si="48"/>
        <v>入力済</v>
      </c>
      <c r="BE99" s="551" t="str">
        <f t="shared" si="59"/>
        <v/>
      </c>
      <c r="BF99" s="551" t="str">
        <f t="shared" si="60"/>
        <v/>
      </c>
      <c r="BG99" s="551" t="str">
        <f t="shared" si="61"/>
        <v/>
      </c>
      <c r="BH99" s="551" t="str">
        <f t="shared" si="49"/>
        <v/>
      </c>
      <c r="BI99" s="551" t="str">
        <f t="shared" si="50"/>
        <v/>
      </c>
      <c r="BK99" s="27"/>
      <c r="BL99" s="587" t="str">
        <f t="shared" si="62"/>
        <v/>
      </c>
      <c r="BM99" s="587" t="str">
        <f t="shared" si="63"/>
        <v/>
      </c>
      <c r="BN99" s="587" t="str">
        <f t="shared" si="64"/>
        <v/>
      </c>
      <c r="BO99" s="588" t="str">
        <f>IF(BM99="","",ROUNDDOWN(L99*VLOOKUP(K99,【参考】数式用!$A$4:$J$42,10,FALSE)*AA99,0))</f>
        <v/>
      </c>
      <c r="BP99" s="587" t="str">
        <f t="shared" si="65"/>
        <v/>
      </c>
      <c r="BQ99" s="587" t="str">
        <f t="shared" si="66"/>
        <v/>
      </c>
      <c r="BR99" s="589" t="str">
        <f t="shared" si="67"/>
        <v/>
      </c>
      <c r="BS99" s="589" t="str">
        <f t="shared" si="68"/>
        <v/>
      </c>
      <c r="BT99" s="587" t="str">
        <f t="shared" si="69"/>
        <v/>
      </c>
      <c r="BU99" s="588" t="str">
        <f>IF(BT99="Ⅱロ有り",ROUNDDOWN(L99*VLOOKUP(K99,【参考】数式用!$A$4:$J$42,10,FALSE)*AA99,0),"")</f>
        <v/>
      </c>
      <c r="BV99" s="587" t="str">
        <f>IF(BT99="Ⅱロなし",ROUNDDOWN(L99*VLOOKUP(K99,【参考】数式用!$A$4:$J$42,8,FALSE)*AA99,0),"")</f>
        <v/>
      </c>
    </row>
    <row r="100" spans="1:74" ht="109.9" customHeight="1" thickBot="1">
      <c r="A100" s="303">
        <v>87</v>
      </c>
      <c r="B100" s="933" t="str">
        <f>IF(基本情報入力シート!B122="","",基本情報入力シート!B122)</f>
        <v/>
      </c>
      <c r="C100" s="934"/>
      <c r="D100" s="934"/>
      <c r="E100" s="934"/>
      <c r="F100" s="935"/>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49" t="str">
        <f>IF(基本情報入力シート!AF122=0, "",基本情報入力シート!AF122)</f>
        <v/>
      </c>
      <c r="M100" s="516" t="str">
        <f>IF('別紙様式2-2（個票（４、５月））'!M100="","",'別紙様式2-2（個票（４、５月））'!M100)</f>
        <v/>
      </c>
      <c r="N100" s="515" t="str">
        <f>IF('別紙様式2-2（個票（４、５月））'!N100="","",'別紙様式2-2（個票（４、５月））'!N100)</f>
        <v/>
      </c>
      <c r="O100" s="286"/>
      <c r="P100" s="546" t="str">
        <f>IFERROR(VLOOKUP(K100,【参考】数式用!$A$2:$M$57,MATCH(O100,【参考】数式用!$G$3:$M$3,0)+6,0),"")</f>
        <v/>
      </c>
      <c r="Q100" s="310" t="s">
        <v>118</v>
      </c>
      <c r="R100" s="308"/>
      <c r="S100" s="309" t="s">
        <v>183</v>
      </c>
      <c r="T100" s="308"/>
      <c r="U100" s="309" t="s">
        <v>184</v>
      </c>
      <c r="V100" s="308"/>
      <c r="W100" s="309" t="s">
        <v>183</v>
      </c>
      <c r="X100" s="308"/>
      <c r="Y100" s="309" t="s">
        <v>185</v>
      </c>
      <c r="Z100" s="309" t="s">
        <v>186</v>
      </c>
      <c r="AA100" s="309" t="str">
        <f t="shared" si="71"/>
        <v/>
      </c>
      <c r="AB100" s="305" t="s">
        <v>187</v>
      </c>
      <c r="AC100" s="306" t="str">
        <f t="shared" si="51"/>
        <v/>
      </c>
      <c r="AD100" s="507"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48" t="str">
        <f>IFERROR(VLOOKUP(K100,【参考】数式用!$A$2:$N$57,14,FALSE),"")</f>
        <v/>
      </c>
      <c r="AP100" s="548" t="str">
        <f t="shared" si="54"/>
        <v/>
      </c>
      <c r="AQ100" s="552" t="str">
        <f t="shared" si="42"/>
        <v/>
      </c>
      <c r="AR100" s="552" t="str">
        <f t="shared" si="70"/>
        <v>キャリアパス要件Ⅰ・Ⅱ_</v>
      </c>
      <c r="AS100" s="531" t="str">
        <f t="shared" si="43"/>
        <v>入力済</v>
      </c>
      <c r="AT100" s="548" t="str">
        <f t="shared" si="55"/>
        <v/>
      </c>
      <c r="AU100" s="531" t="str">
        <f t="shared" si="44"/>
        <v>入力済</v>
      </c>
      <c r="AV100" s="531" t="str">
        <f t="shared" si="45"/>
        <v/>
      </c>
      <c r="AW100" s="531" t="str">
        <f t="shared" si="56"/>
        <v/>
      </c>
      <c r="AX100" s="548" t="str">
        <f t="shared" si="46"/>
        <v/>
      </c>
      <c r="AY100" s="531" t="str">
        <f>IFERROR(VLOOKUP(K100,【参考】数式用!$AR$3:$AS$49, 2, FALSE), "")</f>
        <v/>
      </c>
      <c r="AZ100" s="548" t="str">
        <f t="shared" si="57"/>
        <v/>
      </c>
      <c r="BA100" s="551" t="str">
        <f t="shared" si="47"/>
        <v>入力済</v>
      </c>
      <c r="BB100" s="531" t="str">
        <f>IFERROR(VLOOKUP(K100,【参考】数式用!$AX$3:$AY$59, 2, FALSE), "")</f>
        <v/>
      </c>
      <c r="BC100" s="548" t="str">
        <f t="shared" si="58"/>
        <v/>
      </c>
      <c r="BD100" s="551" t="str">
        <f t="shared" si="48"/>
        <v>入力済</v>
      </c>
      <c r="BE100" s="551" t="str">
        <f t="shared" si="59"/>
        <v/>
      </c>
      <c r="BF100" s="551" t="str">
        <f t="shared" si="60"/>
        <v/>
      </c>
      <c r="BG100" s="551" t="str">
        <f t="shared" si="61"/>
        <v/>
      </c>
      <c r="BH100" s="551" t="str">
        <f t="shared" si="49"/>
        <v/>
      </c>
      <c r="BI100" s="551" t="str">
        <f t="shared" si="50"/>
        <v/>
      </c>
      <c r="BK100" s="27"/>
      <c r="BL100" s="587" t="str">
        <f t="shared" si="62"/>
        <v/>
      </c>
      <c r="BM100" s="587" t="str">
        <f t="shared" si="63"/>
        <v/>
      </c>
      <c r="BN100" s="587" t="str">
        <f t="shared" si="64"/>
        <v/>
      </c>
      <c r="BO100" s="588" t="str">
        <f>IF(BM100="","",ROUNDDOWN(L100*VLOOKUP(K100,【参考】数式用!$A$4:$J$42,10,FALSE)*AA100,0))</f>
        <v/>
      </c>
      <c r="BP100" s="587" t="str">
        <f t="shared" si="65"/>
        <v/>
      </c>
      <c r="BQ100" s="587" t="str">
        <f t="shared" si="66"/>
        <v/>
      </c>
      <c r="BR100" s="589" t="str">
        <f t="shared" si="67"/>
        <v/>
      </c>
      <c r="BS100" s="589" t="str">
        <f t="shared" si="68"/>
        <v/>
      </c>
      <c r="BT100" s="587" t="str">
        <f t="shared" si="69"/>
        <v/>
      </c>
      <c r="BU100" s="588" t="str">
        <f>IF(BT100="Ⅱロ有り",ROUNDDOWN(L100*VLOOKUP(K100,【参考】数式用!$A$4:$J$42,10,FALSE)*AA100,0),"")</f>
        <v/>
      </c>
      <c r="BV100" s="587" t="str">
        <f>IF(BT100="Ⅱロなし",ROUNDDOWN(L100*VLOOKUP(K100,【参考】数式用!$A$4:$J$42,8,FALSE)*AA100,0),"")</f>
        <v/>
      </c>
    </row>
    <row r="101" spans="1:74" ht="109.9" customHeight="1" thickBot="1">
      <c r="A101" s="303">
        <v>88</v>
      </c>
      <c r="B101" s="933" t="str">
        <f>IF(基本情報入力シート!B123="","",基本情報入力シート!B123)</f>
        <v/>
      </c>
      <c r="C101" s="934"/>
      <c r="D101" s="934"/>
      <c r="E101" s="934"/>
      <c r="F101" s="935"/>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49" t="str">
        <f>IF(基本情報入力シート!AF123=0, "",基本情報入力シート!AF123)</f>
        <v/>
      </c>
      <c r="M101" s="516" t="str">
        <f>IF('別紙様式2-2（個票（４、５月））'!M101="","",'別紙様式2-2（個票（４、５月））'!M101)</f>
        <v/>
      </c>
      <c r="N101" s="515" t="str">
        <f>IF('別紙様式2-2（個票（４、５月））'!N101="","",'別紙様式2-2（個票（４、５月））'!N101)</f>
        <v/>
      </c>
      <c r="O101" s="286"/>
      <c r="P101" s="546" t="str">
        <f>IFERROR(VLOOKUP(K101,【参考】数式用!$A$2:$M$57,MATCH(O101,【参考】数式用!$G$3:$M$3,0)+6,0),"")</f>
        <v/>
      </c>
      <c r="Q101" s="310" t="s">
        <v>118</v>
      </c>
      <c r="R101" s="308"/>
      <c r="S101" s="309" t="s">
        <v>183</v>
      </c>
      <c r="T101" s="308"/>
      <c r="U101" s="309" t="s">
        <v>184</v>
      </c>
      <c r="V101" s="308"/>
      <c r="W101" s="309" t="s">
        <v>183</v>
      </c>
      <c r="X101" s="308"/>
      <c r="Y101" s="309" t="s">
        <v>185</v>
      </c>
      <c r="Z101" s="309" t="s">
        <v>186</v>
      </c>
      <c r="AA101" s="309" t="str">
        <f t="shared" si="71"/>
        <v/>
      </c>
      <c r="AB101" s="305" t="s">
        <v>187</v>
      </c>
      <c r="AC101" s="306" t="str">
        <f t="shared" si="51"/>
        <v/>
      </c>
      <c r="AD101" s="507"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48" t="str">
        <f>IFERROR(VLOOKUP(K101,【参考】数式用!$A$2:$N$57,14,FALSE),"")</f>
        <v/>
      </c>
      <c r="AP101" s="548" t="str">
        <f t="shared" si="54"/>
        <v/>
      </c>
      <c r="AQ101" s="552" t="str">
        <f t="shared" si="42"/>
        <v/>
      </c>
      <c r="AR101" s="552" t="str">
        <f t="shared" si="70"/>
        <v>キャリアパス要件Ⅰ・Ⅱ_</v>
      </c>
      <c r="AS101" s="531" t="str">
        <f t="shared" si="43"/>
        <v>入力済</v>
      </c>
      <c r="AT101" s="548" t="str">
        <f t="shared" si="55"/>
        <v/>
      </c>
      <c r="AU101" s="531" t="str">
        <f t="shared" si="44"/>
        <v>入力済</v>
      </c>
      <c r="AV101" s="531" t="str">
        <f t="shared" si="45"/>
        <v/>
      </c>
      <c r="AW101" s="531" t="str">
        <f t="shared" si="56"/>
        <v/>
      </c>
      <c r="AX101" s="548" t="str">
        <f t="shared" si="46"/>
        <v/>
      </c>
      <c r="AY101" s="531" t="str">
        <f>IFERROR(VLOOKUP(K101,【参考】数式用!$AR$3:$AS$49, 2, FALSE), "")</f>
        <v/>
      </c>
      <c r="AZ101" s="548" t="str">
        <f t="shared" si="57"/>
        <v/>
      </c>
      <c r="BA101" s="551" t="str">
        <f t="shared" si="47"/>
        <v>入力済</v>
      </c>
      <c r="BB101" s="531" t="str">
        <f>IFERROR(VLOOKUP(K101,【参考】数式用!$AX$3:$AY$59, 2, FALSE), "")</f>
        <v/>
      </c>
      <c r="BC101" s="548" t="str">
        <f t="shared" si="58"/>
        <v/>
      </c>
      <c r="BD101" s="551" t="str">
        <f t="shared" si="48"/>
        <v>入力済</v>
      </c>
      <c r="BE101" s="551" t="str">
        <f t="shared" si="59"/>
        <v/>
      </c>
      <c r="BF101" s="551" t="str">
        <f t="shared" si="60"/>
        <v/>
      </c>
      <c r="BG101" s="551" t="str">
        <f t="shared" si="61"/>
        <v/>
      </c>
      <c r="BH101" s="551" t="str">
        <f t="shared" si="49"/>
        <v/>
      </c>
      <c r="BI101" s="551" t="str">
        <f t="shared" si="50"/>
        <v/>
      </c>
      <c r="BK101" s="27"/>
      <c r="BL101" s="587" t="str">
        <f t="shared" si="62"/>
        <v/>
      </c>
      <c r="BM101" s="587" t="str">
        <f t="shared" si="63"/>
        <v/>
      </c>
      <c r="BN101" s="587" t="str">
        <f t="shared" si="64"/>
        <v/>
      </c>
      <c r="BO101" s="588" t="str">
        <f>IF(BM101="","",ROUNDDOWN(L101*VLOOKUP(K101,【参考】数式用!$A$4:$J$42,10,FALSE)*AA101,0))</f>
        <v/>
      </c>
      <c r="BP101" s="587" t="str">
        <f t="shared" si="65"/>
        <v/>
      </c>
      <c r="BQ101" s="587" t="str">
        <f t="shared" si="66"/>
        <v/>
      </c>
      <c r="BR101" s="589" t="str">
        <f t="shared" si="67"/>
        <v/>
      </c>
      <c r="BS101" s="589" t="str">
        <f t="shared" si="68"/>
        <v/>
      </c>
      <c r="BT101" s="587" t="str">
        <f t="shared" si="69"/>
        <v/>
      </c>
      <c r="BU101" s="588" t="str">
        <f>IF(BT101="Ⅱロ有り",ROUNDDOWN(L101*VLOOKUP(K101,【参考】数式用!$A$4:$J$42,10,FALSE)*AA101,0),"")</f>
        <v/>
      </c>
      <c r="BV101" s="587" t="str">
        <f>IF(BT101="Ⅱロなし",ROUNDDOWN(L101*VLOOKUP(K101,【参考】数式用!$A$4:$J$42,8,FALSE)*AA101,0),"")</f>
        <v/>
      </c>
    </row>
    <row r="102" spans="1:74" ht="109.9" customHeight="1" thickBot="1">
      <c r="A102" s="303">
        <v>89</v>
      </c>
      <c r="B102" s="933" t="str">
        <f>IF(基本情報入力シート!B124="","",基本情報入力シート!B124)</f>
        <v/>
      </c>
      <c r="C102" s="934"/>
      <c r="D102" s="934"/>
      <c r="E102" s="934"/>
      <c r="F102" s="935"/>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49" t="str">
        <f>IF(基本情報入力シート!AF124=0, "",基本情報入力シート!AF124)</f>
        <v/>
      </c>
      <c r="M102" s="516" t="str">
        <f>IF('別紙様式2-2（個票（４、５月））'!M102="","",'別紙様式2-2（個票（４、５月））'!M102)</f>
        <v/>
      </c>
      <c r="N102" s="515" t="str">
        <f>IF('別紙様式2-2（個票（４、５月））'!N102="","",'別紙様式2-2（個票（４、５月））'!N102)</f>
        <v/>
      </c>
      <c r="O102" s="286"/>
      <c r="P102" s="546" t="str">
        <f>IFERROR(VLOOKUP(K102,【参考】数式用!$A$2:$M$57,MATCH(O102,【参考】数式用!$G$3:$M$3,0)+6,0),"")</f>
        <v/>
      </c>
      <c r="Q102" s="310" t="s">
        <v>118</v>
      </c>
      <c r="R102" s="308"/>
      <c r="S102" s="309" t="s">
        <v>183</v>
      </c>
      <c r="T102" s="308"/>
      <c r="U102" s="309" t="s">
        <v>184</v>
      </c>
      <c r="V102" s="308"/>
      <c r="W102" s="309" t="s">
        <v>183</v>
      </c>
      <c r="X102" s="308"/>
      <c r="Y102" s="309" t="s">
        <v>185</v>
      </c>
      <c r="Z102" s="309" t="s">
        <v>186</v>
      </c>
      <c r="AA102" s="309" t="str">
        <f t="shared" si="71"/>
        <v/>
      </c>
      <c r="AB102" s="305" t="s">
        <v>187</v>
      </c>
      <c r="AC102" s="306" t="str">
        <f t="shared" si="51"/>
        <v/>
      </c>
      <c r="AD102" s="507"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48" t="str">
        <f>IFERROR(VLOOKUP(K102,【参考】数式用!$A$2:$N$57,14,FALSE),"")</f>
        <v/>
      </c>
      <c r="AP102" s="548" t="str">
        <f t="shared" si="54"/>
        <v/>
      </c>
      <c r="AQ102" s="552" t="str">
        <f t="shared" si="42"/>
        <v/>
      </c>
      <c r="AR102" s="552" t="str">
        <f t="shared" si="70"/>
        <v>キャリアパス要件Ⅰ・Ⅱ_</v>
      </c>
      <c r="AS102" s="531" t="str">
        <f t="shared" si="43"/>
        <v>入力済</v>
      </c>
      <c r="AT102" s="548" t="str">
        <f t="shared" si="55"/>
        <v/>
      </c>
      <c r="AU102" s="531" t="str">
        <f t="shared" si="44"/>
        <v>入力済</v>
      </c>
      <c r="AV102" s="531" t="str">
        <f t="shared" si="45"/>
        <v/>
      </c>
      <c r="AW102" s="531" t="str">
        <f t="shared" si="56"/>
        <v/>
      </c>
      <c r="AX102" s="548" t="str">
        <f t="shared" si="46"/>
        <v/>
      </c>
      <c r="AY102" s="531" t="str">
        <f>IFERROR(VLOOKUP(K102,【参考】数式用!$AR$3:$AS$49, 2, FALSE), "")</f>
        <v/>
      </c>
      <c r="AZ102" s="548" t="str">
        <f t="shared" si="57"/>
        <v/>
      </c>
      <c r="BA102" s="551" t="str">
        <f t="shared" si="47"/>
        <v>入力済</v>
      </c>
      <c r="BB102" s="531" t="str">
        <f>IFERROR(VLOOKUP(K102,【参考】数式用!$AX$3:$AY$59, 2, FALSE), "")</f>
        <v/>
      </c>
      <c r="BC102" s="548" t="str">
        <f t="shared" si="58"/>
        <v/>
      </c>
      <c r="BD102" s="551" t="str">
        <f t="shared" si="48"/>
        <v>入力済</v>
      </c>
      <c r="BE102" s="551" t="str">
        <f t="shared" si="59"/>
        <v/>
      </c>
      <c r="BF102" s="551" t="str">
        <f t="shared" si="60"/>
        <v/>
      </c>
      <c r="BG102" s="551" t="str">
        <f t="shared" si="61"/>
        <v/>
      </c>
      <c r="BH102" s="551" t="str">
        <f t="shared" si="49"/>
        <v/>
      </c>
      <c r="BI102" s="551" t="str">
        <f t="shared" si="50"/>
        <v/>
      </c>
      <c r="BK102" s="27"/>
      <c r="BL102" s="587" t="str">
        <f t="shared" si="62"/>
        <v/>
      </c>
      <c r="BM102" s="587" t="str">
        <f t="shared" si="63"/>
        <v/>
      </c>
      <c r="BN102" s="587" t="str">
        <f t="shared" si="64"/>
        <v/>
      </c>
      <c r="BO102" s="588" t="str">
        <f>IF(BM102="","",ROUNDDOWN(L102*VLOOKUP(K102,【参考】数式用!$A$4:$J$42,10,FALSE)*AA102,0))</f>
        <v/>
      </c>
      <c r="BP102" s="587" t="str">
        <f t="shared" si="65"/>
        <v/>
      </c>
      <c r="BQ102" s="587" t="str">
        <f t="shared" si="66"/>
        <v/>
      </c>
      <c r="BR102" s="589" t="str">
        <f t="shared" si="67"/>
        <v/>
      </c>
      <c r="BS102" s="589" t="str">
        <f t="shared" si="68"/>
        <v/>
      </c>
      <c r="BT102" s="587" t="str">
        <f t="shared" si="69"/>
        <v/>
      </c>
      <c r="BU102" s="588" t="str">
        <f>IF(BT102="Ⅱロ有り",ROUNDDOWN(L102*VLOOKUP(K102,【参考】数式用!$A$4:$J$42,10,FALSE)*AA102,0),"")</f>
        <v/>
      </c>
      <c r="BV102" s="587" t="str">
        <f>IF(BT102="Ⅱロなし",ROUNDDOWN(L102*VLOOKUP(K102,【参考】数式用!$A$4:$J$42,8,FALSE)*AA102,0),"")</f>
        <v/>
      </c>
    </row>
    <row r="103" spans="1:74" ht="109.9" customHeight="1" thickBot="1">
      <c r="A103" s="303">
        <v>90</v>
      </c>
      <c r="B103" s="933" t="str">
        <f>IF(基本情報入力シート!B125="","",基本情報入力シート!B125)</f>
        <v/>
      </c>
      <c r="C103" s="934"/>
      <c r="D103" s="934"/>
      <c r="E103" s="934"/>
      <c r="F103" s="935"/>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49" t="str">
        <f>IF(基本情報入力シート!AF125=0, "",基本情報入力シート!AF125)</f>
        <v/>
      </c>
      <c r="M103" s="516" t="str">
        <f>IF('別紙様式2-2（個票（４、５月））'!M103="","",'別紙様式2-2（個票（４、５月））'!M103)</f>
        <v/>
      </c>
      <c r="N103" s="515" t="str">
        <f>IF('別紙様式2-2（個票（４、５月））'!N103="","",'別紙様式2-2（個票（４、５月））'!N103)</f>
        <v/>
      </c>
      <c r="O103" s="286"/>
      <c r="P103" s="546" t="str">
        <f>IFERROR(VLOOKUP(K103,【参考】数式用!$A$2:$M$57,MATCH(O103,【参考】数式用!$G$3:$M$3,0)+6,0),"")</f>
        <v/>
      </c>
      <c r="Q103" s="310" t="s">
        <v>118</v>
      </c>
      <c r="R103" s="308"/>
      <c r="S103" s="309" t="s">
        <v>183</v>
      </c>
      <c r="T103" s="308"/>
      <c r="U103" s="309" t="s">
        <v>184</v>
      </c>
      <c r="V103" s="308"/>
      <c r="W103" s="309" t="s">
        <v>183</v>
      </c>
      <c r="X103" s="308"/>
      <c r="Y103" s="309" t="s">
        <v>120</v>
      </c>
      <c r="Z103" s="309" t="s">
        <v>186</v>
      </c>
      <c r="AA103" s="309" t="str">
        <f t="shared" si="71"/>
        <v/>
      </c>
      <c r="AB103" s="305" t="s">
        <v>187</v>
      </c>
      <c r="AC103" s="306" t="str">
        <f t="shared" si="51"/>
        <v/>
      </c>
      <c r="AD103" s="507"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48" t="str">
        <f>IFERROR(VLOOKUP(K103,【参考】数式用!$A$2:$N$57,14,FALSE),"")</f>
        <v/>
      </c>
      <c r="AP103" s="548" t="str">
        <f t="shared" si="54"/>
        <v/>
      </c>
      <c r="AQ103" s="552" t="str">
        <f t="shared" si="42"/>
        <v/>
      </c>
      <c r="AR103" s="552" t="str">
        <f t="shared" si="70"/>
        <v>キャリアパス要件Ⅰ・Ⅱ_</v>
      </c>
      <c r="AS103" s="531" t="str">
        <f t="shared" si="43"/>
        <v>入力済</v>
      </c>
      <c r="AT103" s="548" t="str">
        <f t="shared" si="55"/>
        <v/>
      </c>
      <c r="AU103" s="531" t="str">
        <f t="shared" si="44"/>
        <v>入力済</v>
      </c>
      <c r="AV103" s="531" t="str">
        <f t="shared" si="45"/>
        <v/>
      </c>
      <c r="AW103" s="531" t="str">
        <f t="shared" si="56"/>
        <v/>
      </c>
      <c r="AX103" s="548" t="str">
        <f t="shared" si="46"/>
        <v/>
      </c>
      <c r="AY103" s="531" t="str">
        <f>IFERROR(VLOOKUP(K103,【参考】数式用!$AR$3:$AS$49, 2, FALSE), "")</f>
        <v/>
      </c>
      <c r="AZ103" s="548" t="str">
        <f t="shared" si="57"/>
        <v/>
      </c>
      <c r="BA103" s="551" t="str">
        <f t="shared" si="47"/>
        <v>入力済</v>
      </c>
      <c r="BB103" s="531" t="str">
        <f>IFERROR(VLOOKUP(K103,【参考】数式用!$AX$3:$AY$59, 2, FALSE), "")</f>
        <v/>
      </c>
      <c r="BC103" s="548" t="str">
        <f t="shared" si="58"/>
        <v/>
      </c>
      <c r="BD103" s="551" t="str">
        <f t="shared" si="48"/>
        <v>入力済</v>
      </c>
      <c r="BE103" s="551" t="str">
        <f t="shared" si="59"/>
        <v/>
      </c>
      <c r="BF103" s="551" t="str">
        <f t="shared" si="60"/>
        <v/>
      </c>
      <c r="BG103" s="551" t="str">
        <f t="shared" si="61"/>
        <v/>
      </c>
      <c r="BH103" s="551" t="str">
        <f t="shared" si="49"/>
        <v/>
      </c>
      <c r="BI103" s="551" t="str">
        <f t="shared" si="50"/>
        <v/>
      </c>
      <c r="BK103" s="27"/>
      <c r="BL103" s="587" t="str">
        <f t="shared" si="62"/>
        <v/>
      </c>
      <c r="BM103" s="587" t="str">
        <f t="shared" si="63"/>
        <v/>
      </c>
      <c r="BN103" s="587" t="str">
        <f t="shared" si="64"/>
        <v/>
      </c>
      <c r="BO103" s="588" t="str">
        <f>IF(BM103="","",ROUNDDOWN(L103*VLOOKUP(K103,【参考】数式用!$A$4:$J$42,10,FALSE)*AA103,0))</f>
        <v/>
      </c>
      <c r="BP103" s="587" t="str">
        <f t="shared" si="65"/>
        <v/>
      </c>
      <c r="BQ103" s="587" t="str">
        <f t="shared" si="66"/>
        <v/>
      </c>
      <c r="BR103" s="589" t="str">
        <f t="shared" si="67"/>
        <v/>
      </c>
      <c r="BS103" s="589" t="str">
        <f t="shared" si="68"/>
        <v/>
      </c>
      <c r="BT103" s="587" t="str">
        <f t="shared" si="69"/>
        <v/>
      </c>
      <c r="BU103" s="588" t="str">
        <f>IF(BT103="Ⅱロ有り",ROUNDDOWN(L103*VLOOKUP(K103,【参考】数式用!$A$4:$J$42,10,FALSE)*AA103,0),"")</f>
        <v/>
      </c>
      <c r="BV103" s="587" t="str">
        <f>IF(BT103="Ⅱロなし",ROUNDDOWN(L103*VLOOKUP(K103,【参考】数式用!$A$4:$J$42,8,FALSE)*AA103,0),"")</f>
        <v/>
      </c>
    </row>
    <row r="104" spans="1:74" ht="109.9" customHeight="1" thickBot="1">
      <c r="A104" s="303">
        <v>91</v>
      </c>
      <c r="B104" s="933" t="str">
        <f>IF(基本情報入力シート!B126="","",基本情報入力シート!B126)</f>
        <v/>
      </c>
      <c r="C104" s="934"/>
      <c r="D104" s="934"/>
      <c r="E104" s="934"/>
      <c r="F104" s="935"/>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49" t="str">
        <f>IF(基本情報入力シート!AF126=0, "",基本情報入力シート!AF126)</f>
        <v/>
      </c>
      <c r="M104" s="516" t="str">
        <f>IF('別紙様式2-2（個票（４、５月））'!M104="","",'別紙様式2-2（個票（４、５月））'!M104)</f>
        <v/>
      </c>
      <c r="N104" s="515" t="str">
        <f>IF('別紙様式2-2（個票（４、５月））'!N104="","",'別紙様式2-2（個票（４、５月））'!N104)</f>
        <v/>
      </c>
      <c r="O104" s="286"/>
      <c r="P104" s="546" t="str">
        <f>IFERROR(VLOOKUP(K104,【参考】数式用!$A$2:$M$57,MATCH(O104,【参考】数式用!$G$3:$M$3,0)+6,0),"")</f>
        <v/>
      </c>
      <c r="Q104" s="310" t="s">
        <v>118</v>
      </c>
      <c r="R104" s="308"/>
      <c r="S104" s="309" t="s">
        <v>183</v>
      </c>
      <c r="T104" s="308"/>
      <c r="U104" s="309" t="s">
        <v>184</v>
      </c>
      <c r="V104" s="308"/>
      <c r="W104" s="309" t="s">
        <v>183</v>
      </c>
      <c r="X104" s="308"/>
      <c r="Y104" s="309" t="s">
        <v>185</v>
      </c>
      <c r="Z104" s="309" t="s">
        <v>186</v>
      </c>
      <c r="AA104" s="309" t="str">
        <f t="shared" si="71"/>
        <v/>
      </c>
      <c r="AB104" s="305" t="s">
        <v>187</v>
      </c>
      <c r="AC104" s="306" t="str">
        <f t="shared" si="51"/>
        <v/>
      </c>
      <c r="AD104" s="507"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48" t="str">
        <f>IFERROR(VLOOKUP(K104,【参考】数式用!$A$2:$N$57,14,FALSE),"")</f>
        <v/>
      </c>
      <c r="AP104" s="548" t="str">
        <f t="shared" si="54"/>
        <v/>
      </c>
      <c r="AQ104" s="552" t="str">
        <f t="shared" si="42"/>
        <v/>
      </c>
      <c r="AR104" s="552" t="str">
        <f t="shared" si="70"/>
        <v>キャリアパス要件Ⅰ・Ⅱ_</v>
      </c>
      <c r="AS104" s="531" t="str">
        <f t="shared" si="43"/>
        <v>入力済</v>
      </c>
      <c r="AT104" s="548" t="str">
        <f t="shared" si="55"/>
        <v/>
      </c>
      <c r="AU104" s="531" t="str">
        <f t="shared" si="44"/>
        <v>入力済</v>
      </c>
      <c r="AV104" s="531" t="str">
        <f t="shared" si="45"/>
        <v/>
      </c>
      <c r="AW104" s="531" t="str">
        <f t="shared" si="56"/>
        <v/>
      </c>
      <c r="AX104" s="548" t="str">
        <f t="shared" si="46"/>
        <v/>
      </c>
      <c r="AY104" s="531" t="str">
        <f>IFERROR(VLOOKUP(K104,【参考】数式用!$AR$3:$AS$49, 2, FALSE), "")</f>
        <v/>
      </c>
      <c r="AZ104" s="548" t="str">
        <f t="shared" si="57"/>
        <v/>
      </c>
      <c r="BA104" s="551" t="str">
        <f t="shared" si="47"/>
        <v>入力済</v>
      </c>
      <c r="BB104" s="531" t="str">
        <f>IFERROR(VLOOKUP(K104,【参考】数式用!$AX$3:$AY$59, 2, FALSE), "")</f>
        <v/>
      </c>
      <c r="BC104" s="548" t="str">
        <f t="shared" si="58"/>
        <v/>
      </c>
      <c r="BD104" s="551" t="str">
        <f t="shared" si="48"/>
        <v>入力済</v>
      </c>
      <c r="BE104" s="551" t="str">
        <f t="shared" si="59"/>
        <v/>
      </c>
      <c r="BF104" s="551" t="str">
        <f t="shared" si="60"/>
        <v/>
      </c>
      <c r="BG104" s="551" t="str">
        <f t="shared" si="61"/>
        <v/>
      </c>
      <c r="BH104" s="551" t="str">
        <f t="shared" si="49"/>
        <v/>
      </c>
      <c r="BI104" s="551" t="str">
        <f t="shared" si="50"/>
        <v/>
      </c>
      <c r="BK104" s="27"/>
      <c r="BL104" s="587" t="str">
        <f t="shared" si="62"/>
        <v/>
      </c>
      <c r="BM104" s="587" t="str">
        <f t="shared" si="63"/>
        <v/>
      </c>
      <c r="BN104" s="587" t="str">
        <f t="shared" si="64"/>
        <v/>
      </c>
      <c r="BO104" s="588" t="str">
        <f>IF(BM104="","",ROUNDDOWN(L104*VLOOKUP(K104,【参考】数式用!$A$4:$J$42,10,FALSE)*AA104,0))</f>
        <v/>
      </c>
      <c r="BP104" s="587" t="str">
        <f t="shared" si="65"/>
        <v/>
      </c>
      <c r="BQ104" s="587" t="str">
        <f t="shared" si="66"/>
        <v/>
      </c>
      <c r="BR104" s="589" t="str">
        <f t="shared" si="67"/>
        <v/>
      </c>
      <c r="BS104" s="589" t="str">
        <f t="shared" si="68"/>
        <v/>
      </c>
      <c r="BT104" s="587" t="str">
        <f t="shared" si="69"/>
        <v/>
      </c>
      <c r="BU104" s="588" t="str">
        <f>IF(BT104="Ⅱロ有り",ROUNDDOWN(L104*VLOOKUP(K104,【参考】数式用!$A$4:$J$42,10,FALSE)*AA104,0),"")</f>
        <v/>
      </c>
      <c r="BV104" s="587" t="str">
        <f>IF(BT104="Ⅱロなし",ROUNDDOWN(L104*VLOOKUP(K104,【参考】数式用!$A$4:$J$42,8,FALSE)*AA104,0),"")</f>
        <v/>
      </c>
    </row>
    <row r="105" spans="1:74" ht="109.9" customHeight="1" thickBot="1">
      <c r="A105" s="303">
        <v>92</v>
      </c>
      <c r="B105" s="933" t="str">
        <f>IF(基本情報入力シート!B127="","",基本情報入力シート!B127)</f>
        <v/>
      </c>
      <c r="C105" s="934"/>
      <c r="D105" s="934"/>
      <c r="E105" s="934"/>
      <c r="F105" s="935"/>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49" t="str">
        <f>IF(基本情報入力シート!AF127=0, "",基本情報入力シート!AF127)</f>
        <v/>
      </c>
      <c r="M105" s="516" t="str">
        <f>IF('別紙様式2-2（個票（４、５月））'!M105="","",'別紙様式2-2（個票（４、５月））'!M105)</f>
        <v/>
      </c>
      <c r="N105" s="515" t="str">
        <f>IF('別紙様式2-2（個票（４、５月））'!N105="","",'別紙様式2-2（個票（４、５月））'!N105)</f>
        <v/>
      </c>
      <c r="O105" s="286"/>
      <c r="P105" s="546" t="str">
        <f>IFERROR(VLOOKUP(K105,【参考】数式用!$A$2:$M$57,MATCH(O105,【参考】数式用!$G$3:$M$3,0)+6,0),"")</f>
        <v/>
      </c>
      <c r="Q105" s="310" t="s">
        <v>118</v>
      </c>
      <c r="R105" s="308"/>
      <c r="S105" s="309" t="s">
        <v>183</v>
      </c>
      <c r="T105" s="308"/>
      <c r="U105" s="309" t="s">
        <v>184</v>
      </c>
      <c r="V105" s="308"/>
      <c r="W105" s="309" t="s">
        <v>183</v>
      </c>
      <c r="X105" s="308"/>
      <c r="Y105" s="309" t="s">
        <v>185</v>
      </c>
      <c r="Z105" s="309" t="s">
        <v>186</v>
      </c>
      <c r="AA105" s="309" t="str">
        <f t="shared" si="71"/>
        <v/>
      </c>
      <c r="AB105" s="305" t="s">
        <v>187</v>
      </c>
      <c r="AC105" s="306" t="str">
        <f t="shared" si="51"/>
        <v/>
      </c>
      <c r="AD105" s="507"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48" t="str">
        <f>IFERROR(VLOOKUP(K105,【参考】数式用!$A$2:$N$57,14,FALSE),"")</f>
        <v/>
      </c>
      <c r="AP105" s="548" t="str">
        <f t="shared" si="54"/>
        <v/>
      </c>
      <c r="AQ105" s="552" t="str">
        <f t="shared" si="42"/>
        <v/>
      </c>
      <c r="AR105" s="552" t="str">
        <f t="shared" si="70"/>
        <v>キャリアパス要件Ⅰ・Ⅱ_</v>
      </c>
      <c r="AS105" s="531" t="str">
        <f t="shared" si="43"/>
        <v>入力済</v>
      </c>
      <c r="AT105" s="548" t="str">
        <f t="shared" si="55"/>
        <v/>
      </c>
      <c r="AU105" s="531" t="str">
        <f t="shared" si="44"/>
        <v>入力済</v>
      </c>
      <c r="AV105" s="531" t="str">
        <f t="shared" si="45"/>
        <v/>
      </c>
      <c r="AW105" s="531" t="str">
        <f t="shared" si="56"/>
        <v/>
      </c>
      <c r="AX105" s="548" t="str">
        <f t="shared" si="46"/>
        <v/>
      </c>
      <c r="AY105" s="531" t="str">
        <f>IFERROR(VLOOKUP(K105,【参考】数式用!$AR$3:$AS$49, 2, FALSE), "")</f>
        <v/>
      </c>
      <c r="AZ105" s="548" t="str">
        <f t="shared" si="57"/>
        <v/>
      </c>
      <c r="BA105" s="551" t="str">
        <f t="shared" si="47"/>
        <v>入力済</v>
      </c>
      <c r="BB105" s="531" t="str">
        <f>IFERROR(VLOOKUP(K105,【参考】数式用!$AX$3:$AY$59, 2, FALSE), "")</f>
        <v/>
      </c>
      <c r="BC105" s="548" t="str">
        <f t="shared" si="58"/>
        <v/>
      </c>
      <c r="BD105" s="551" t="str">
        <f t="shared" si="48"/>
        <v>入力済</v>
      </c>
      <c r="BE105" s="551" t="str">
        <f t="shared" si="59"/>
        <v/>
      </c>
      <c r="BF105" s="551" t="str">
        <f t="shared" si="60"/>
        <v/>
      </c>
      <c r="BG105" s="551" t="str">
        <f t="shared" si="61"/>
        <v/>
      </c>
      <c r="BH105" s="551" t="str">
        <f t="shared" si="49"/>
        <v/>
      </c>
      <c r="BI105" s="551" t="str">
        <f t="shared" si="50"/>
        <v/>
      </c>
      <c r="BK105" s="27"/>
      <c r="BL105" s="587" t="str">
        <f t="shared" si="62"/>
        <v/>
      </c>
      <c r="BM105" s="587" t="str">
        <f t="shared" si="63"/>
        <v/>
      </c>
      <c r="BN105" s="587" t="str">
        <f t="shared" si="64"/>
        <v/>
      </c>
      <c r="BO105" s="588" t="str">
        <f>IF(BM105="","",ROUNDDOWN(L105*VLOOKUP(K105,【参考】数式用!$A$4:$J$42,10,FALSE)*AA105,0))</f>
        <v/>
      </c>
      <c r="BP105" s="587" t="str">
        <f t="shared" si="65"/>
        <v/>
      </c>
      <c r="BQ105" s="587" t="str">
        <f t="shared" si="66"/>
        <v/>
      </c>
      <c r="BR105" s="589" t="str">
        <f t="shared" si="67"/>
        <v/>
      </c>
      <c r="BS105" s="589" t="str">
        <f t="shared" si="68"/>
        <v/>
      </c>
      <c r="BT105" s="587" t="str">
        <f t="shared" si="69"/>
        <v/>
      </c>
      <c r="BU105" s="588" t="str">
        <f>IF(BT105="Ⅱロ有り",ROUNDDOWN(L105*VLOOKUP(K105,【参考】数式用!$A$4:$J$42,10,FALSE)*AA105,0),"")</f>
        <v/>
      </c>
      <c r="BV105" s="587" t="str">
        <f>IF(BT105="Ⅱロなし",ROUNDDOWN(L105*VLOOKUP(K105,【参考】数式用!$A$4:$J$42,8,FALSE)*AA105,0),"")</f>
        <v/>
      </c>
    </row>
    <row r="106" spans="1:74" ht="109.9" customHeight="1" thickBot="1">
      <c r="A106" s="303">
        <v>93</v>
      </c>
      <c r="B106" s="933" t="str">
        <f>IF(基本情報入力シート!B128="","",基本情報入力シート!B128)</f>
        <v/>
      </c>
      <c r="C106" s="934"/>
      <c r="D106" s="934"/>
      <c r="E106" s="934"/>
      <c r="F106" s="935"/>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49" t="str">
        <f>IF(基本情報入力シート!AF128=0, "",基本情報入力シート!AF128)</f>
        <v/>
      </c>
      <c r="M106" s="516" t="str">
        <f>IF('別紙様式2-2（個票（４、５月））'!M106="","",'別紙様式2-2（個票（４、５月））'!M106)</f>
        <v/>
      </c>
      <c r="N106" s="515" t="str">
        <f>IF('別紙様式2-2（個票（４、５月））'!N106="","",'別紙様式2-2（個票（４、５月））'!N106)</f>
        <v/>
      </c>
      <c r="O106" s="286"/>
      <c r="P106" s="546" t="str">
        <f>IFERROR(VLOOKUP(K106,【参考】数式用!$A$2:$M$57,MATCH(O106,【参考】数式用!$G$3:$M$3,0)+6,0),"")</f>
        <v/>
      </c>
      <c r="Q106" s="310" t="s">
        <v>118</v>
      </c>
      <c r="R106" s="308"/>
      <c r="S106" s="309" t="s">
        <v>183</v>
      </c>
      <c r="T106" s="308"/>
      <c r="U106" s="309" t="s">
        <v>184</v>
      </c>
      <c r="V106" s="308"/>
      <c r="W106" s="309" t="s">
        <v>183</v>
      </c>
      <c r="X106" s="308"/>
      <c r="Y106" s="309" t="s">
        <v>185</v>
      </c>
      <c r="Z106" s="309" t="s">
        <v>186</v>
      </c>
      <c r="AA106" s="309" t="str">
        <f t="shared" si="71"/>
        <v/>
      </c>
      <c r="AB106" s="305" t="s">
        <v>187</v>
      </c>
      <c r="AC106" s="306" t="str">
        <f t="shared" si="51"/>
        <v/>
      </c>
      <c r="AD106" s="507"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48" t="str">
        <f>IFERROR(VLOOKUP(K106,【参考】数式用!$A$2:$N$57,14,FALSE),"")</f>
        <v/>
      </c>
      <c r="AP106" s="548" t="str">
        <f t="shared" si="54"/>
        <v/>
      </c>
      <c r="AQ106" s="552" t="str">
        <f t="shared" si="42"/>
        <v/>
      </c>
      <c r="AR106" s="552" t="str">
        <f t="shared" si="70"/>
        <v>キャリアパス要件Ⅰ・Ⅱ_</v>
      </c>
      <c r="AS106" s="531" t="str">
        <f t="shared" si="43"/>
        <v>入力済</v>
      </c>
      <c r="AT106" s="548" t="str">
        <f t="shared" si="55"/>
        <v/>
      </c>
      <c r="AU106" s="531" t="str">
        <f t="shared" si="44"/>
        <v>入力済</v>
      </c>
      <c r="AV106" s="531" t="str">
        <f t="shared" si="45"/>
        <v/>
      </c>
      <c r="AW106" s="531" t="str">
        <f t="shared" si="56"/>
        <v/>
      </c>
      <c r="AX106" s="548" t="str">
        <f t="shared" si="46"/>
        <v/>
      </c>
      <c r="AY106" s="531" t="str">
        <f>IFERROR(VLOOKUP(K106,【参考】数式用!$AR$3:$AS$49, 2, FALSE), "")</f>
        <v/>
      </c>
      <c r="AZ106" s="548" t="str">
        <f t="shared" si="57"/>
        <v/>
      </c>
      <c r="BA106" s="551" t="str">
        <f t="shared" si="47"/>
        <v>入力済</v>
      </c>
      <c r="BB106" s="531" t="str">
        <f>IFERROR(VLOOKUP(K106,【参考】数式用!$AX$3:$AY$59, 2, FALSE), "")</f>
        <v/>
      </c>
      <c r="BC106" s="548" t="str">
        <f t="shared" si="58"/>
        <v/>
      </c>
      <c r="BD106" s="551" t="str">
        <f t="shared" si="48"/>
        <v>入力済</v>
      </c>
      <c r="BE106" s="551" t="str">
        <f t="shared" si="59"/>
        <v/>
      </c>
      <c r="BF106" s="551" t="str">
        <f t="shared" si="60"/>
        <v/>
      </c>
      <c r="BG106" s="551" t="str">
        <f t="shared" si="61"/>
        <v/>
      </c>
      <c r="BH106" s="551" t="str">
        <f t="shared" si="49"/>
        <v/>
      </c>
      <c r="BI106" s="551" t="str">
        <f t="shared" si="50"/>
        <v/>
      </c>
      <c r="BK106" s="27"/>
      <c r="BL106" s="587" t="str">
        <f t="shared" si="62"/>
        <v/>
      </c>
      <c r="BM106" s="587" t="str">
        <f t="shared" si="63"/>
        <v/>
      </c>
      <c r="BN106" s="587" t="str">
        <f t="shared" si="64"/>
        <v/>
      </c>
      <c r="BO106" s="588" t="str">
        <f>IF(BM106="","",ROUNDDOWN(L106*VLOOKUP(K106,【参考】数式用!$A$4:$J$42,10,FALSE)*AA106,0))</f>
        <v/>
      </c>
      <c r="BP106" s="587" t="str">
        <f t="shared" si="65"/>
        <v/>
      </c>
      <c r="BQ106" s="587" t="str">
        <f t="shared" si="66"/>
        <v/>
      </c>
      <c r="BR106" s="589" t="str">
        <f t="shared" si="67"/>
        <v/>
      </c>
      <c r="BS106" s="589" t="str">
        <f t="shared" si="68"/>
        <v/>
      </c>
      <c r="BT106" s="587" t="str">
        <f t="shared" si="69"/>
        <v/>
      </c>
      <c r="BU106" s="588" t="str">
        <f>IF(BT106="Ⅱロ有り",ROUNDDOWN(L106*VLOOKUP(K106,【参考】数式用!$A$4:$J$42,10,FALSE)*AA106,0),"")</f>
        <v/>
      </c>
      <c r="BV106" s="587" t="str">
        <f>IF(BT106="Ⅱロなし",ROUNDDOWN(L106*VLOOKUP(K106,【参考】数式用!$A$4:$J$42,8,FALSE)*AA106,0),"")</f>
        <v/>
      </c>
    </row>
    <row r="107" spans="1:74" ht="109.9" customHeight="1" thickBot="1">
      <c r="A107" s="303">
        <v>94</v>
      </c>
      <c r="B107" s="933" t="str">
        <f>IF(基本情報入力シート!B129="","",基本情報入力シート!B129)</f>
        <v/>
      </c>
      <c r="C107" s="934"/>
      <c r="D107" s="934"/>
      <c r="E107" s="934"/>
      <c r="F107" s="935"/>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49" t="str">
        <f>IF(基本情報入力シート!AF129=0, "",基本情報入力シート!AF129)</f>
        <v/>
      </c>
      <c r="M107" s="516" t="str">
        <f>IF('別紙様式2-2（個票（４、５月））'!M107="","",'別紙様式2-2（個票（４、５月））'!M107)</f>
        <v/>
      </c>
      <c r="N107" s="515" t="str">
        <f>IF('別紙様式2-2（個票（４、５月））'!N107="","",'別紙様式2-2（個票（４、５月））'!N107)</f>
        <v/>
      </c>
      <c r="O107" s="286"/>
      <c r="P107" s="546" t="str">
        <f>IFERROR(VLOOKUP(K107,【参考】数式用!$A$2:$M$57,MATCH(O107,【参考】数式用!$G$3:$M$3,0)+6,0),"")</f>
        <v/>
      </c>
      <c r="Q107" s="310" t="s">
        <v>118</v>
      </c>
      <c r="R107" s="308"/>
      <c r="S107" s="309" t="s">
        <v>183</v>
      </c>
      <c r="T107" s="308"/>
      <c r="U107" s="309" t="s">
        <v>184</v>
      </c>
      <c r="V107" s="308"/>
      <c r="W107" s="309" t="s">
        <v>183</v>
      </c>
      <c r="X107" s="308"/>
      <c r="Y107" s="309" t="s">
        <v>120</v>
      </c>
      <c r="Z107" s="309" t="s">
        <v>186</v>
      </c>
      <c r="AA107" s="309" t="str">
        <f t="shared" si="71"/>
        <v/>
      </c>
      <c r="AB107" s="305" t="s">
        <v>187</v>
      </c>
      <c r="AC107" s="306" t="str">
        <f t="shared" si="51"/>
        <v/>
      </c>
      <c r="AD107" s="507"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48" t="str">
        <f>IFERROR(VLOOKUP(K107,【参考】数式用!$A$2:$N$57,14,FALSE),"")</f>
        <v/>
      </c>
      <c r="AP107" s="548" t="str">
        <f t="shared" si="54"/>
        <v/>
      </c>
      <c r="AQ107" s="552" t="str">
        <f t="shared" si="42"/>
        <v/>
      </c>
      <c r="AR107" s="552" t="str">
        <f t="shared" si="70"/>
        <v>キャリアパス要件Ⅰ・Ⅱ_</v>
      </c>
      <c r="AS107" s="531" t="str">
        <f t="shared" si="43"/>
        <v>入力済</v>
      </c>
      <c r="AT107" s="548" t="str">
        <f t="shared" si="55"/>
        <v/>
      </c>
      <c r="AU107" s="531" t="str">
        <f t="shared" si="44"/>
        <v>入力済</v>
      </c>
      <c r="AV107" s="531" t="str">
        <f t="shared" si="45"/>
        <v/>
      </c>
      <c r="AW107" s="531" t="str">
        <f t="shared" si="56"/>
        <v/>
      </c>
      <c r="AX107" s="548" t="str">
        <f t="shared" si="46"/>
        <v/>
      </c>
      <c r="AY107" s="531" t="str">
        <f>IFERROR(VLOOKUP(K107,【参考】数式用!$AR$3:$AS$49, 2, FALSE), "")</f>
        <v/>
      </c>
      <c r="AZ107" s="548" t="str">
        <f t="shared" si="57"/>
        <v/>
      </c>
      <c r="BA107" s="551" t="str">
        <f t="shared" si="47"/>
        <v>入力済</v>
      </c>
      <c r="BB107" s="531" t="str">
        <f>IFERROR(VLOOKUP(K107,【参考】数式用!$AX$3:$AY$59, 2, FALSE), "")</f>
        <v/>
      </c>
      <c r="BC107" s="548" t="str">
        <f t="shared" si="58"/>
        <v/>
      </c>
      <c r="BD107" s="551" t="str">
        <f t="shared" si="48"/>
        <v>入力済</v>
      </c>
      <c r="BE107" s="551" t="str">
        <f t="shared" si="59"/>
        <v/>
      </c>
      <c r="BF107" s="551" t="str">
        <f t="shared" si="60"/>
        <v/>
      </c>
      <c r="BG107" s="551" t="str">
        <f t="shared" si="61"/>
        <v/>
      </c>
      <c r="BH107" s="551" t="str">
        <f t="shared" si="49"/>
        <v/>
      </c>
      <c r="BI107" s="551" t="str">
        <f t="shared" si="50"/>
        <v/>
      </c>
      <c r="BK107" s="27"/>
      <c r="BL107" s="587" t="str">
        <f t="shared" si="62"/>
        <v/>
      </c>
      <c r="BM107" s="587" t="str">
        <f t="shared" si="63"/>
        <v/>
      </c>
      <c r="BN107" s="587" t="str">
        <f t="shared" si="64"/>
        <v/>
      </c>
      <c r="BO107" s="588" t="str">
        <f>IF(BM107="","",ROUNDDOWN(L107*VLOOKUP(K107,【参考】数式用!$A$4:$J$42,10,FALSE)*AA107,0))</f>
        <v/>
      </c>
      <c r="BP107" s="587" t="str">
        <f t="shared" si="65"/>
        <v/>
      </c>
      <c r="BQ107" s="587" t="str">
        <f t="shared" si="66"/>
        <v/>
      </c>
      <c r="BR107" s="589" t="str">
        <f t="shared" si="67"/>
        <v/>
      </c>
      <c r="BS107" s="589" t="str">
        <f t="shared" si="68"/>
        <v/>
      </c>
      <c r="BT107" s="587" t="str">
        <f t="shared" si="69"/>
        <v/>
      </c>
      <c r="BU107" s="588" t="str">
        <f>IF(BT107="Ⅱロ有り",ROUNDDOWN(L107*VLOOKUP(K107,【参考】数式用!$A$4:$J$42,10,FALSE)*AA107,0),"")</f>
        <v/>
      </c>
      <c r="BV107" s="587" t="str">
        <f>IF(BT107="Ⅱロなし",ROUNDDOWN(L107*VLOOKUP(K107,【参考】数式用!$A$4:$J$42,8,FALSE)*AA107,0),"")</f>
        <v/>
      </c>
    </row>
    <row r="108" spans="1:74" ht="109.9" customHeight="1" thickBot="1">
      <c r="A108" s="303">
        <v>95</v>
      </c>
      <c r="B108" s="933" t="str">
        <f>IF(基本情報入力シート!B130="","",基本情報入力シート!B130)</f>
        <v/>
      </c>
      <c r="C108" s="934"/>
      <c r="D108" s="934"/>
      <c r="E108" s="934"/>
      <c r="F108" s="935"/>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49" t="str">
        <f>IF(基本情報入力シート!AF130=0, "",基本情報入力シート!AF130)</f>
        <v/>
      </c>
      <c r="M108" s="516" t="str">
        <f>IF('別紙様式2-2（個票（４、５月））'!M108="","",'別紙様式2-2（個票（４、５月））'!M108)</f>
        <v/>
      </c>
      <c r="N108" s="515" t="str">
        <f>IF('別紙様式2-2（個票（４、５月））'!N108="","",'別紙様式2-2（個票（４、５月））'!N108)</f>
        <v/>
      </c>
      <c r="O108" s="286"/>
      <c r="P108" s="546" t="str">
        <f>IFERROR(VLOOKUP(K108,【参考】数式用!$A$2:$M$57,MATCH(O108,【参考】数式用!$G$3:$M$3,0)+6,0),"")</f>
        <v/>
      </c>
      <c r="Q108" s="310" t="s">
        <v>118</v>
      </c>
      <c r="R108" s="308"/>
      <c r="S108" s="309" t="s">
        <v>183</v>
      </c>
      <c r="T108" s="308"/>
      <c r="U108" s="309" t="s">
        <v>184</v>
      </c>
      <c r="V108" s="308"/>
      <c r="W108" s="309" t="s">
        <v>183</v>
      </c>
      <c r="X108" s="308"/>
      <c r="Y108" s="309" t="s">
        <v>120</v>
      </c>
      <c r="Z108" s="309" t="s">
        <v>186</v>
      </c>
      <c r="AA108" s="309" t="str">
        <f t="shared" si="71"/>
        <v/>
      </c>
      <c r="AB108" s="305" t="s">
        <v>187</v>
      </c>
      <c r="AC108" s="306" t="str">
        <f t="shared" si="51"/>
        <v/>
      </c>
      <c r="AD108" s="507"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48" t="str">
        <f>IFERROR(VLOOKUP(K108,【参考】数式用!$A$2:$N$57,14,FALSE),"")</f>
        <v/>
      </c>
      <c r="AP108" s="548" t="str">
        <f t="shared" si="54"/>
        <v/>
      </c>
      <c r="AQ108" s="552" t="str">
        <f t="shared" si="42"/>
        <v/>
      </c>
      <c r="AR108" s="552" t="str">
        <f t="shared" si="70"/>
        <v>キャリアパス要件Ⅰ・Ⅱ_</v>
      </c>
      <c r="AS108" s="531" t="str">
        <f t="shared" si="43"/>
        <v>入力済</v>
      </c>
      <c r="AT108" s="548" t="str">
        <f t="shared" si="55"/>
        <v/>
      </c>
      <c r="AU108" s="531" t="str">
        <f t="shared" si="44"/>
        <v>入力済</v>
      </c>
      <c r="AV108" s="531" t="str">
        <f t="shared" si="45"/>
        <v/>
      </c>
      <c r="AW108" s="531" t="str">
        <f t="shared" si="56"/>
        <v/>
      </c>
      <c r="AX108" s="548" t="str">
        <f t="shared" si="46"/>
        <v/>
      </c>
      <c r="AY108" s="531" t="str">
        <f>IFERROR(VLOOKUP(K108,【参考】数式用!$AR$3:$AS$49, 2, FALSE), "")</f>
        <v/>
      </c>
      <c r="AZ108" s="548" t="str">
        <f t="shared" si="57"/>
        <v/>
      </c>
      <c r="BA108" s="551" t="str">
        <f t="shared" si="47"/>
        <v>入力済</v>
      </c>
      <c r="BB108" s="531" t="str">
        <f>IFERROR(VLOOKUP(K108,【参考】数式用!$AX$3:$AY$59, 2, FALSE), "")</f>
        <v/>
      </c>
      <c r="BC108" s="548" t="str">
        <f t="shared" si="58"/>
        <v/>
      </c>
      <c r="BD108" s="551" t="str">
        <f t="shared" si="48"/>
        <v>入力済</v>
      </c>
      <c r="BE108" s="551" t="str">
        <f t="shared" si="59"/>
        <v/>
      </c>
      <c r="BF108" s="551" t="str">
        <f t="shared" si="60"/>
        <v/>
      </c>
      <c r="BG108" s="551" t="str">
        <f t="shared" si="61"/>
        <v/>
      </c>
      <c r="BH108" s="551" t="str">
        <f t="shared" si="49"/>
        <v/>
      </c>
      <c r="BI108" s="551" t="str">
        <f t="shared" si="50"/>
        <v/>
      </c>
      <c r="BK108" s="27"/>
      <c r="BL108" s="587" t="str">
        <f t="shared" si="62"/>
        <v/>
      </c>
      <c r="BM108" s="587" t="str">
        <f t="shared" si="63"/>
        <v/>
      </c>
      <c r="BN108" s="587" t="str">
        <f t="shared" si="64"/>
        <v/>
      </c>
      <c r="BO108" s="588" t="str">
        <f>IF(BM108="","",ROUNDDOWN(L108*VLOOKUP(K108,【参考】数式用!$A$4:$J$42,10,FALSE)*AA108,0))</f>
        <v/>
      </c>
      <c r="BP108" s="587" t="str">
        <f t="shared" si="65"/>
        <v/>
      </c>
      <c r="BQ108" s="587" t="str">
        <f t="shared" si="66"/>
        <v/>
      </c>
      <c r="BR108" s="589" t="str">
        <f t="shared" si="67"/>
        <v/>
      </c>
      <c r="BS108" s="589" t="str">
        <f t="shared" si="68"/>
        <v/>
      </c>
      <c r="BT108" s="587" t="str">
        <f t="shared" si="69"/>
        <v/>
      </c>
      <c r="BU108" s="588" t="str">
        <f>IF(BT108="Ⅱロ有り",ROUNDDOWN(L108*VLOOKUP(K108,【参考】数式用!$A$4:$J$42,10,FALSE)*AA108,0),"")</f>
        <v/>
      </c>
      <c r="BV108" s="587" t="str">
        <f>IF(BT108="Ⅱロなし",ROUNDDOWN(L108*VLOOKUP(K108,【参考】数式用!$A$4:$J$42,8,FALSE)*AA108,0),"")</f>
        <v/>
      </c>
    </row>
    <row r="109" spans="1:74" ht="109.9" customHeight="1" thickBot="1">
      <c r="A109" s="303">
        <v>96</v>
      </c>
      <c r="B109" s="933" t="str">
        <f>IF(基本情報入力シート!B131="","",基本情報入力シート!B131)</f>
        <v/>
      </c>
      <c r="C109" s="934"/>
      <c r="D109" s="934"/>
      <c r="E109" s="934"/>
      <c r="F109" s="935"/>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49" t="str">
        <f>IF(基本情報入力シート!AF131=0, "",基本情報入力シート!AF131)</f>
        <v/>
      </c>
      <c r="M109" s="516" t="str">
        <f>IF('別紙様式2-2（個票（４、５月））'!M109="","",'別紙様式2-2（個票（４、５月））'!M109)</f>
        <v/>
      </c>
      <c r="N109" s="515" t="str">
        <f>IF('別紙様式2-2（個票（４、５月））'!N109="","",'別紙様式2-2（個票（４、５月））'!N109)</f>
        <v/>
      </c>
      <c r="O109" s="286"/>
      <c r="P109" s="546" t="str">
        <f>IFERROR(VLOOKUP(K109,【参考】数式用!$A$2:$M$57,MATCH(O109,【参考】数式用!$G$3:$M$3,0)+6,0),"")</f>
        <v/>
      </c>
      <c r="Q109" s="310" t="s">
        <v>118</v>
      </c>
      <c r="R109" s="308"/>
      <c r="S109" s="309" t="s">
        <v>183</v>
      </c>
      <c r="T109" s="308"/>
      <c r="U109" s="309" t="s">
        <v>184</v>
      </c>
      <c r="V109" s="308"/>
      <c r="W109" s="309" t="s">
        <v>183</v>
      </c>
      <c r="X109" s="308"/>
      <c r="Y109" s="309" t="s">
        <v>185</v>
      </c>
      <c r="Z109" s="309" t="s">
        <v>186</v>
      </c>
      <c r="AA109" s="309" t="str">
        <f t="shared" si="71"/>
        <v/>
      </c>
      <c r="AB109" s="305" t="s">
        <v>187</v>
      </c>
      <c r="AC109" s="306" t="str">
        <f t="shared" si="51"/>
        <v/>
      </c>
      <c r="AD109" s="507"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48" t="str">
        <f>IFERROR(VLOOKUP(K109,【参考】数式用!$A$2:$N$57,14,FALSE),"")</f>
        <v/>
      </c>
      <c r="AP109" s="548" t="str">
        <f t="shared" si="54"/>
        <v/>
      </c>
      <c r="AQ109" s="552" t="str">
        <f t="shared" si="42"/>
        <v/>
      </c>
      <c r="AR109" s="552" t="str">
        <f t="shared" si="70"/>
        <v>キャリアパス要件Ⅰ・Ⅱ_</v>
      </c>
      <c r="AS109" s="531" t="str">
        <f t="shared" si="43"/>
        <v>入力済</v>
      </c>
      <c r="AT109" s="548" t="str">
        <f t="shared" si="55"/>
        <v/>
      </c>
      <c r="AU109" s="531" t="str">
        <f t="shared" si="44"/>
        <v>入力済</v>
      </c>
      <c r="AV109" s="531" t="str">
        <f t="shared" si="45"/>
        <v/>
      </c>
      <c r="AW109" s="531" t="str">
        <f t="shared" si="56"/>
        <v/>
      </c>
      <c r="AX109" s="548" t="str">
        <f t="shared" ref="AX109:AX113" si="73">IF(AND(AW109=1, OR(AI109=0,AI109=""),AO109="加算対象"),"AH列に色付け","")</f>
        <v/>
      </c>
      <c r="AY109" s="531" t="str">
        <f>IFERROR(VLOOKUP(K109,【参考】数式用!$AR$3:$AS$49, 2, FALSE), "")</f>
        <v/>
      </c>
      <c r="AZ109" s="548" t="str">
        <f t="shared" si="57"/>
        <v/>
      </c>
      <c r="BA109" s="551" t="str">
        <f t="shared" si="47"/>
        <v>入力済</v>
      </c>
      <c r="BB109" s="531" t="str">
        <f>IFERROR(VLOOKUP(K109,【参考】数式用!$AX$3:$AY$59, 2, FALSE), "")</f>
        <v/>
      </c>
      <c r="BC109" s="548" t="str">
        <f t="shared" si="58"/>
        <v/>
      </c>
      <c r="BD109" s="551" t="str">
        <f t="shared" si="48"/>
        <v>入力済</v>
      </c>
      <c r="BE109" s="551" t="str">
        <f t="shared" si="59"/>
        <v/>
      </c>
      <c r="BF109" s="551" t="str">
        <f t="shared" si="60"/>
        <v/>
      </c>
      <c r="BG109" s="551" t="str">
        <f t="shared" si="61"/>
        <v/>
      </c>
      <c r="BH109" s="551" t="str">
        <f t="shared" ref="BH109:BH113" si="74">IF(AND(BE109="",BG109="入力必要"),IF(AK109="","未入力","入力済"),"")</f>
        <v/>
      </c>
      <c r="BI109" s="551" t="str">
        <f t="shared" si="50"/>
        <v/>
      </c>
      <c r="BK109" s="27"/>
      <c r="BL109" s="587" t="str">
        <f t="shared" si="62"/>
        <v/>
      </c>
      <c r="BM109" s="587" t="str">
        <f t="shared" si="63"/>
        <v/>
      </c>
      <c r="BN109" s="587" t="str">
        <f t="shared" si="64"/>
        <v/>
      </c>
      <c r="BO109" s="588" t="str">
        <f>IF(BM109="","",ROUNDDOWN(L109*VLOOKUP(K109,【参考】数式用!$A$4:$J$42,10,FALSE)*AA109,0))</f>
        <v/>
      </c>
      <c r="BP109" s="587" t="str">
        <f t="shared" si="65"/>
        <v/>
      </c>
      <c r="BQ109" s="587" t="str">
        <f t="shared" si="66"/>
        <v/>
      </c>
      <c r="BR109" s="589" t="str">
        <f t="shared" si="67"/>
        <v/>
      </c>
      <c r="BS109" s="589" t="str">
        <f t="shared" si="68"/>
        <v/>
      </c>
      <c r="BT109" s="587" t="str">
        <f t="shared" si="69"/>
        <v/>
      </c>
      <c r="BU109" s="588" t="str">
        <f>IF(BT109="Ⅱロ有り",ROUNDDOWN(L109*VLOOKUP(K109,【参考】数式用!$A$4:$J$42,10,FALSE)*AA109,0),"")</f>
        <v/>
      </c>
      <c r="BV109" s="587" t="str">
        <f>IF(BT109="Ⅱロなし",ROUNDDOWN(L109*VLOOKUP(K109,【参考】数式用!$A$4:$J$42,8,FALSE)*AA109,0),"")</f>
        <v/>
      </c>
    </row>
    <row r="110" spans="1:74" ht="109.9" customHeight="1" thickBot="1">
      <c r="A110" s="303">
        <v>97</v>
      </c>
      <c r="B110" s="933" t="str">
        <f>IF(基本情報入力シート!B132="","",基本情報入力シート!B132)</f>
        <v/>
      </c>
      <c r="C110" s="934"/>
      <c r="D110" s="934"/>
      <c r="E110" s="934"/>
      <c r="F110" s="935"/>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49" t="str">
        <f>IF(基本情報入力シート!AF132=0, "",基本情報入力シート!AF132)</f>
        <v/>
      </c>
      <c r="M110" s="516" t="str">
        <f>IF('別紙様式2-2（個票（４、５月））'!M110="","",'別紙様式2-2（個票（４、５月））'!M110)</f>
        <v/>
      </c>
      <c r="N110" s="515" t="str">
        <f>IF('別紙様式2-2（個票（４、５月））'!N110="","",'別紙様式2-2（個票（４、５月））'!N110)</f>
        <v/>
      </c>
      <c r="O110" s="286"/>
      <c r="P110" s="546" t="str">
        <f>IFERROR(VLOOKUP(K110,【参考】数式用!$A$2:$M$57,MATCH(O110,【参考】数式用!$G$3:$M$3,0)+6,0),"")</f>
        <v/>
      </c>
      <c r="Q110" s="310" t="s">
        <v>118</v>
      </c>
      <c r="R110" s="308"/>
      <c r="S110" s="309" t="s">
        <v>183</v>
      </c>
      <c r="T110" s="308"/>
      <c r="U110" s="309" t="s">
        <v>184</v>
      </c>
      <c r="V110" s="308"/>
      <c r="W110" s="309" t="s">
        <v>183</v>
      </c>
      <c r="X110" s="308"/>
      <c r="Y110" s="309" t="s">
        <v>185</v>
      </c>
      <c r="Z110" s="309" t="s">
        <v>186</v>
      </c>
      <c r="AA110" s="309" t="str">
        <f t="shared" si="71"/>
        <v/>
      </c>
      <c r="AB110" s="305" t="s">
        <v>187</v>
      </c>
      <c r="AC110" s="306" t="str">
        <f t="shared" si="51"/>
        <v/>
      </c>
      <c r="AD110" s="507"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48" t="str">
        <f>IFERROR(VLOOKUP(K110,【参考】数式用!$A$2:$N$57,14,FALSE),"")</f>
        <v/>
      </c>
      <c r="AP110" s="548" t="str">
        <f t="shared" si="54"/>
        <v/>
      </c>
      <c r="AQ110" s="552" t="str">
        <f t="shared" si="42"/>
        <v/>
      </c>
      <c r="AR110" s="552" t="str">
        <f t="shared" si="70"/>
        <v>キャリアパス要件Ⅰ・Ⅱ_</v>
      </c>
      <c r="AS110" s="531" t="str">
        <f t="shared" si="43"/>
        <v>入力済</v>
      </c>
      <c r="AT110" s="548" t="str">
        <f t="shared" si="55"/>
        <v/>
      </c>
      <c r="AU110" s="531" t="str">
        <f t="shared" si="44"/>
        <v>入力済</v>
      </c>
      <c r="AV110" s="531" t="str">
        <f t="shared" si="45"/>
        <v/>
      </c>
      <c r="AW110" s="531" t="str">
        <f t="shared" si="56"/>
        <v/>
      </c>
      <c r="AX110" s="548" t="str">
        <f t="shared" si="73"/>
        <v/>
      </c>
      <c r="AY110" s="531" t="str">
        <f>IFERROR(VLOOKUP(K110,【参考】数式用!$AR$3:$AS$49, 2, FALSE), "")</f>
        <v/>
      </c>
      <c r="AZ110" s="548" t="str">
        <f t="shared" si="57"/>
        <v/>
      </c>
      <c r="BA110" s="551" t="str">
        <f t="shared" si="47"/>
        <v>入力済</v>
      </c>
      <c r="BB110" s="531" t="str">
        <f>IFERROR(VLOOKUP(K110,【参考】数式用!$AX$3:$AY$59, 2, FALSE), "")</f>
        <v/>
      </c>
      <c r="BC110" s="548" t="str">
        <f t="shared" si="58"/>
        <v/>
      </c>
      <c r="BD110" s="551" t="str">
        <f t="shared" si="48"/>
        <v>入力済</v>
      </c>
      <c r="BE110" s="551" t="str">
        <f t="shared" si="59"/>
        <v/>
      </c>
      <c r="BF110" s="551" t="str">
        <f t="shared" si="60"/>
        <v/>
      </c>
      <c r="BG110" s="551" t="str">
        <f t="shared" si="61"/>
        <v/>
      </c>
      <c r="BH110" s="551" t="str">
        <f t="shared" si="74"/>
        <v/>
      </c>
      <c r="BI110" s="551" t="str">
        <f t="shared" si="50"/>
        <v/>
      </c>
      <c r="BK110" s="27"/>
      <c r="BL110" s="587" t="str">
        <f t="shared" si="62"/>
        <v/>
      </c>
      <c r="BM110" s="587" t="str">
        <f t="shared" si="63"/>
        <v/>
      </c>
      <c r="BN110" s="587" t="str">
        <f t="shared" si="64"/>
        <v/>
      </c>
      <c r="BO110" s="588" t="str">
        <f>IF(BM110="","",ROUNDDOWN(L110*VLOOKUP(K110,【参考】数式用!$A$4:$J$42,10,FALSE)*AA110,0))</f>
        <v/>
      </c>
      <c r="BP110" s="587" t="str">
        <f t="shared" si="65"/>
        <v/>
      </c>
      <c r="BQ110" s="587" t="str">
        <f t="shared" si="66"/>
        <v/>
      </c>
      <c r="BR110" s="589" t="str">
        <f t="shared" si="67"/>
        <v/>
      </c>
      <c r="BS110" s="589" t="str">
        <f t="shared" si="68"/>
        <v/>
      </c>
      <c r="BT110" s="587" t="str">
        <f t="shared" si="69"/>
        <v/>
      </c>
      <c r="BU110" s="588" t="str">
        <f>IF(BT110="Ⅱロ有り",ROUNDDOWN(L110*VLOOKUP(K110,【参考】数式用!$A$4:$J$42,10,FALSE)*AA110,0),"")</f>
        <v/>
      </c>
      <c r="BV110" s="587" t="str">
        <f>IF(BT110="Ⅱロなし",ROUNDDOWN(L110*VLOOKUP(K110,【参考】数式用!$A$4:$J$42,8,FALSE)*AA110,0),"")</f>
        <v/>
      </c>
    </row>
    <row r="111" spans="1:74" ht="109.9" customHeight="1" thickBot="1">
      <c r="A111" s="303">
        <v>98</v>
      </c>
      <c r="B111" s="933" t="str">
        <f>IF(基本情報入力シート!B133="","",基本情報入力シート!B133)</f>
        <v/>
      </c>
      <c r="C111" s="934"/>
      <c r="D111" s="934"/>
      <c r="E111" s="934"/>
      <c r="F111" s="935"/>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49" t="str">
        <f>IF(基本情報入力シート!AF133=0, "",基本情報入力シート!AF133)</f>
        <v/>
      </c>
      <c r="M111" s="516" t="str">
        <f>IF('別紙様式2-2（個票（４、５月））'!M111="","",'別紙様式2-2（個票（４、５月））'!M111)</f>
        <v/>
      </c>
      <c r="N111" s="515" t="str">
        <f>IF('別紙様式2-2（個票（４、５月））'!N111="","",'別紙様式2-2（個票（４、５月））'!N111)</f>
        <v/>
      </c>
      <c r="O111" s="286"/>
      <c r="P111" s="546" t="str">
        <f>IFERROR(VLOOKUP(K111,【参考】数式用!$A$2:$M$57,MATCH(O111,【参考】数式用!$G$3:$M$3,0)+6,0),"")</f>
        <v/>
      </c>
      <c r="Q111" s="310" t="s">
        <v>118</v>
      </c>
      <c r="R111" s="308"/>
      <c r="S111" s="309" t="s">
        <v>183</v>
      </c>
      <c r="T111" s="308"/>
      <c r="U111" s="309" t="s">
        <v>184</v>
      </c>
      <c r="V111" s="308"/>
      <c r="W111" s="309" t="s">
        <v>183</v>
      </c>
      <c r="X111" s="308"/>
      <c r="Y111" s="309" t="s">
        <v>185</v>
      </c>
      <c r="Z111" s="309" t="s">
        <v>186</v>
      </c>
      <c r="AA111" s="309" t="str">
        <f t="shared" si="71"/>
        <v/>
      </c>
      <c r="AB111" s="305" t="s">
        <v>187</v>
      </c>
      <c r="AC111" s="306" t="str">
        <f t="shared" si="51"/>
        <v/>
      </c>
      <c r="AD111" s="507"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48" t="str">
        <f>IFERROR(VLOOKUP(K111,【参考】数式用!$A$2:$N$57,14,FALSE),"")</f>
        <v/>
      </c>
      <c r="AP111" s="548" t="str">
        <f t="shared" si="54"/>
        <v/>
      </c>
      <c r="AQ111" s="552" t="str">
        <f t="shared" si="42"/>
        <v/>
      </c>
      <c r="AR111" s="552" t="str">
        <f t="shared" si="70"/>
        <v>キャリアパス要件Ⅰ・Ⅱ_</v>
      </c>
      <c r="AS111" s="531" t="str">
        <f t="shared" si="43"/>
        <v>入力済</v>
      </c>
      <c r="AT111" s="548" t="str">
        <f t="shared" si="55"/>
        <v/>
      </c>
      <c r="AU111" s="531" t="str">
        <f t="shared" si="44"/>
        <v>入力済</v>
      </c>
      <c r="AV111" s="531" t="str">
        <f t="shared" si="45"/>
        <v/>
      </c>
      <c r="AW111" s="531" t="str">
        <f t="shared" si="56"/>
        <v/>
      </c>
      <c r="AX111" s="548" t="str">
        <f t="shared" si="73"/>
        <v/>
      </c>
      <c r="AY111" s="531" t="str">
        <f>IFERROR(VLOOKUP(K111,【参考】数式用!$AR$3:$AS$49, 2, FALSE), "")</f>
        <v/>
      </c>
      <c r="AZ111" s="548" t="str">
        <f t="shared" si="57"/>
        <v/>
      </c>
      <c r="BA111" s="551" t="str">
        <f t="shared" si="47"/>
        <v>入力済</v>
      </c>
      <c r="BB111" s="531" t="str">
        <f>IFERROR(VLOOKUP(K111,【参考】数式用!$AX$3:$AY$59, 2, FALSE), "")</f>
        <v/>
      </c>
      <c r="BC111" s="548" t="str">
        <f t="shared" si="58"/>
        <v/>
      </c>
      <c r="BD111" s="551" t="str">
        <f t="shared" si="48"/>
        <v>入力済</v>
      </c>
      <c r="BE111" s="551" t="str">
        <f t="shared" si="59"/>
        <v/>
      </c>
      <c r="BF111" s="551" t="str">
        <f t="shared" si="60"/>
        <v/>
      </c>
      <c r="BG111" s="551" t="str">
        <f t="shared" si="61"/>
        <v/>
      </c>
      <c r="BH111" s="551" t="str">
        <f t="shared" si="74"/>
        <v/>
      </c>
      <c r="BI111" s="551" t="str">
        <f t="shared" si="50"/>
        <v/>
      </c>
      <c r="BK111" s="27"/>
      <c r="BL111" s="587" t="str">
        <f t="shared" si="62"/>
        <v/>
      </c>
      <c r="BM111" s="587" t="str">
        <f t="shared" si="63"/>
        <v/>
      </c>
      <c r="BN111" s="587" t="str">
        <f t="shared" si="64"/>
        <v/>
      </c>
      <c r="BO111" s="588" t="str">
        <f>IF(BM111="","",ROUNDDOWN(L111*VLOOKUP(K111,【参考】数式用!$A$4:$J$42,10,FALSE)*AA111,0))</f>
        <v/>
      </c>
      <c r="BP111" s="587" t="str">
        <f t="shared" si="65"/>
        <v/>
      </c>
      <c r="BQ111" s="587" t="str">
        <f t="shared" si="66"/>
        <v/>
      </c>
      <c r="BR111" s="589" t="str">
        <f t="shared" si="67"/>
        <v/>
      </c>
      <c r="BS111" s="589" t="str">
        <f t="shared" si="68"/>
        <v/>
      </c>
      <c r="BT111" s="587" t="str">
        <f t="shared" si="69"/>
        <v/>
      </c>
      <c r="BU111" s="588" t="str">
        <f>IF(BT111="Ⅱロ有り",ROUNDDOWN(L111*VLOOKUP(K111,【参考】数式用!$A$4:$J$42,10,FALSE)*AA111,0),"")</f>
        <v/>
      </c>
      <c r="BV111" s="587" t="str">
        <f>IF(BT111="Ⅱロなし",ROUNDDOWN(L111*VLOOKUP(K111,【参考】数式用!$A$4:$J$42,8,FALSE)*AA111,0),"")</f>
        <v/>
      </c>
    </row>
    <row r="112" spans="1:74" ht="109.9" customHeight="1" thickBot="1">
      <c r="A112" s="333">
        <v>99</v>
      </c>
      <c r="B112" s="936" t="str">
        <f>IF(基本情報入力シート!B134="","",基本情報入力シート!B134)</f>
        <v/>
      </c>
      <c r="C112" s="937"/>
      <c r="D112" s="937"/>
      <c r="E112" s="937"/>
      <c r="F112" s="938"/>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16" t="str">
        <f>IF('別紙様式2-2（個票（４、５月））'!M112="","",'別紙様式2-2（個票（４、５月））'!M112)</f>
        <v/>
      </c>
      <c r="N112" s="515" t="str">
        <f>IF('別紙様式2-2（個票（４、５月））'!N112="","",'別紙様式2-2（個票（４、５月））'!N112)</f>
        <v/>
      </c>
      <c r="O112" s="286"/>
      <c r="P112" s="546" t="str">
        <f>IFERROR(VLOOKUP(K112,【参考】数式用!$A$2:$M$57,MATCH(O112,【参考】数式用!$G$3:$M$3,0)+6,0),"")</f>
        <v/>
      </c>
      <c r="Q112" s="338" t="s">
        <v>118</v>
      </c>
      <c r="R112" s="339"/>
      <c r="S112" s="340" t="s">
        <v>183</v>
      </c>
      <c r="T112" s="339"/>
      <c r="U112" s="340" t="s">
        <v>184</v>
      </c>
      <c r="V112" s="339"/>
      <c r="W112" s="340" t="s">
        <v>183</v>
      </c>
      <c r="X112" s="339"/>
      <c r="Y112" s="340" t="s">
        <v>120</v>
      </c>
      <c r="Z112" s="340" t="s">
        <v>186</v>
      </c>
      <c r="AA112" s="340" t="str">
        <f t="shared" si="71"/>
        <v/>
      </c>
      <c r="AB112" s="341" t="s">
        <v>187</v>
      </c>
      <c r="AC112" s="306" t="str">
        <f t="shared" si="51"/>
        <v/>
      </c>
      <c r="AD112" s="507"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48" t="str">
        <f>IFERROR(VLOOKUP(K112,【参考】数式用!$A$2:$N$57,14,FALSE),"")</f>
        <v/>
      </c>
      <c r="AP112" s="548" t="str">
        <f t="shared" si="54"/>
        <v/>
      </c>
      <c r="AQ112" s="552" t="str">
        <f t="shared" si="42"/>
        <v/>
      </c>
      <c r="AR112" s="552" t="str">
        <f t="shared" si="70"/>
        <v>キャリアパス要件Ⅰ・Ⅱ_</v>
      </c>
      <c r="AS112" s="531" t="str">
        <f t="shared" si="43"/>
        <v>入力済</v>
      </c>
      <c r="AT112" s="548" t="str">
        <f t="shared" si="55"/>
        <v/>
      </c>
      <c r="AU112" s="531" t="str">
        <f t="shared" si="44"/>
        <v>入力済</v>
      </c>
      <c r="AV112" s="531" t="str">
        <f t="shared" si="45"/>
        <v/>
      </c>
      <c r="AW112" s="531" t="str">
        <f t="shared" si="56"/>
        <v/>
      </c>
      <c r="AX112" s="548" t="str">
        <f t="shared" si="73"/>
        <v/>
      </c>
      <c r="AY112" s="531" t="str">
        <f>IFERROR(VLOOKUP(K112,【参考】数式用!$AR$3:$AS$49, 2, FALSE), "")</f>
        <v/>
      </c>
      <c r="AZ112" s="548" t="str">
        <f t="shared" si="57"/>
        <v/>
      </c>
      <c r="BA112" s="551" t="str">
        <f t="shared" si="47"/>
        <v>入力済</v>
      </c>
      <c r="BB112" s="531" t="str">
        <f>IFERROR(VLOOKUP(K112,【参考】数式用!$AX$3:$AY$59, 2, FALSE), "")</f>
        <v/>
      </c>
      <c r="BC112" s="548" t="str">
        <f t="shared" si="58"/>
        <v/>
      </c>
      <c r="BD112" s="551" t="str">
        <f t="shared" si="48"/>
        <v>入力済</v>
      </c>
      <c r="BE112" s="551" t="str">
        <f t="shared" si="59"/>
        <v/>
      </c>
      <c r="BF112" s="551" t="str">
        <f t="shared" si="60"/>
        <v/>
      </c>
      <c r="BG112" s="551" t="str">
        <f t="shared" si="61"/>
        <v/>
      </c>
      <c r="BH112" s="551" t="str">
        <f t="shared" si="74"/>
        <v/>
      </c>
      <c r="BI112" s="551" t="str">
        <f t="shared" si="50"/>
        <v/>
      </c>
      <c r="BK112" s="27"/>
      <c r="BL112" s="587" t="str">
        <f t="shared" si="62"/>
        <v/>
      </c>
      <c r="BM112" s="587" t="str">
        <f t="shared" si="63"/>
        <v/>
      </c>
      <c r="BN112" s="587" t="str">
        <f t="shared" si="64"/>
        <v/>
      </c>
      <c r="BO112" s="588" t="str">
        <f>IF(BM112="","",ROUNDDOWN(L112*VLOOKUP(K112,【参考】数式用!$A$4:$J$42,10,FALSE)*AA112,0))</f>
        <v/>
      </c>
      <c r="BP112" s="587" t="str">
        <f t="shared" si="65"/>
        <v/>
      </c>
      <c r="BQ112" s="587" t="str">
        <f t="shared" si="66"/>
        <v/>
      </c>
      <c r="BR112" s="589" t="str">
        <f t="shared" si="67"/>
        <v/>
      </c>
      <c r="BS112" s="589" t="str">
        <f t="shared" si="68"/>
        <v/>
      </c>
      <c r="BT112" s="587" t="str">
        <f t="shared" si="69"/>
        <v/>
      </c>
      <c r="BU112" s="588" t="str">
        <f>IF(BT112="Ⅱロ有り",ROUNDDOWN(L112*VLOOKUP(K112,【参考】数式用!$A$4:$J$42,10,FALSE)*AA112,0),"")</f>
        <v/>
      </c>
      <c r="BV112" s="587" t="str">
        <f>IF(BT112="Ⅱロなし",ROUNDDOWN(L112*VLOOKUP(K112,【参考】数式用!$A$4:$J$42,8,FALSE)*AA112,0),"")</f>
        <v/>
      </c>
    </row>
    <row r="113" spans="1:74" ht="109.9" customHeight="1" thickBot="1">
      <c r="A113" s="333">
        <v>100</v>
      </c>
      <c r="B113" s="936" t="str">
        <f>IF(基本情報入力シート!B135="","",基本情報入力シート!B135)</f>
        <v/>
      </c>
      <c r="C113" s="937"/>
      <c r="D113" s="937"/>
      <c r="E113" s="937"/>
      <c r="F113" s="938"/>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17" t="str">
        <f>IF('別紙様式2-2（個票（４、５月））'!M113="","",'別紙様式2-2（個票（４、５月））'!M113)</f>
        <v/>
      </c>
      <c r="N113" s="571" t="str">
        <f>IF('別紙様式2-2（個票（４、５月））'!N113="","",'別紙様式2-2（個票（４、５月））'!N113)</f>
        <v/>
      </c>
      <c r="O113" s="336"/>
      <c r="P113" s="337" t="str">
        <f>IFERROR(VLOOKUP(K113,【参考】数式用!$A$2:$M$57,MATCH(O113,【参考】数式用!$G$3:$M$3,0)+6,0),"")</f>
        <v/>
      </c>
      <c r="Q113" s="338" t="s">
        <v>118</v>
      </c>
      <c r="R113" s="339"/>
      <c r="S113" s="340" t="s">
        <v>183</v>
      </c>
      <c r="T113" s="339"/>
      <c r="U113" s="340" t="s">
        <v>184</v>
      </c>
      <c r="V113" s="339"/>
      <c r="W113" s="340" t="s">
        <v>183</v>
      </c>
      <c r="X113" s="339"/>
      <c r="Y113" s="340" t="s">
        <v>185</v>
      </c>
      <c r="Z113" s="340" t="s">
        <v>186</v>
      </c>
      <c r="AA113" s="340" t="str">
        <f t="shared" si="71"/>
        <v/>
      </c>
      <c r="AB113" s="341" t="s">
        <v>187</v>
      </c>
      <c r="AC113" s="342" t="str">
        <f t="shared" si="51"/>
        <v/>
      </c>
      <c r="AD113" s="501" t="str">
        <f t="shared" si="52"/>
        <v/>
      </c>
      <c r="AE113" s="343" t="str">
        <f>IFERROR(ROUNDDOWN(ROUNDDOWN(ROUND(L113*VLOOKUP(K113,【参考】数式用!$A$2:$M$57,MATCH("処遇改善加算Ⅳ",【参考】数式用!$G$3:$M$3,0)+6,0),0),0)*AA113*0.5,0), "")</f>
        <v/>
      </c>
      <c r="AF113" s="344"/>
      <c r="AG113" s="345"/>
      <c r="AH113" s="345"/>
      <c r="AI113" s="344"/>
      <c r="AJ113" s="380"/>
      <c r="AK113" s="346"/>
      <c r="AL113" s="324" t="str">
        <f t="shared" si="72"/>
        <v/>
      </c>
      <c r="AM113" s="325" t="str">
        <f t="shared" si="53"/>
        <v/>
      </c>
      <c r="AN113" s="255"/>
      <c r="AO113" s="548" t="str">
        <f>IFERROR(VLOOKUP(K113,【参考】数式用!$A$2:$N$57,14,FALSE),"")</f>
        <v/>
      </c>
      <c r="AP113" s="548" t="str">
        <f t="shared" si="54"/>
        <v/>
      </c>
      <c r="AQ113" s="552" t="str">
        <f t="shared" si="42"/>
        <v/>
      </c>
      <c r="AR113" s="552" t="str">
        <f t="shared" si="70"/>
        <v>キャリアパス要件Ⅰ・Ⅱ_</v>
      </c>
      <c r="AS113" s="531" t="str">
        <f t="shared" si="43"/>
        <v>入力済</v>
      </c>
      <c r="AT113" s="548" t="str">
        <f t="shared" si="55"/>
        <v/>
      </c>
      <c r="AU113" s="531" t="str">
        <f t="shared" si="44"/>
        <v>入力済</v>
      </c>
      <c r="AV113" s="531" t="str">
        <f t="shared" si="45"/>
        <v/>
      </c>
      <c r="AW113" s="531" t="str">
        <f t="shared" si="56"/>
        <v/>
      </c>
      <c r="AX113" s="548" t="str">
        <f t="shared" si="73"/>
        <v/>
      </c>
      <c r="AY113" s="531" t="str">
        <f>IFERROR(VLOOKUP(K113,【参考】数式用!$AR$3:$AS$49, 2, FALSE), "")</f>
        <v/>
      </c>
      <c r="AZ113" s="548" t="str">
        <f t="shared" si="57"/>
        <v/>
      </c>
      <c r="BA113" s="551" t="str">
        <f t="shared" si="47"/>
        <v>入力済</v>
      </c>
      <c r="BB113" s="531" t="str">
        <f>IFERROR(VLOOKUP(K113,【参考】数式用!$AX$3:$AY$59, 2, FALSE), "")</f>
        <v/>
      </c>
      <c r="BC113" s="548" t="str">
        <f t="shared" si="58"/>
        <v/>
      </c>
      <c r="BD113" s="551" t="str">
        <f t="shared" si="48"/>
        <v>入力済</v>
      </c>
      <c r="BE113" s="551" t="str">
        <f t="shared" si="59"/>
        <v/>
      </c>
      <c r="BF113" s="551" t="str">
        <f t="shared" si="60"/>
        <v/>
      </c>
      <c r="BG113" s="551" t="str">
        <f t="shared" si="61"/>
        <v/>
      </c>
      <c r="BH113" s="551" t="str">
        <f t="shared" si="74"/>
        <v/>
      </c>
      <c r="BI113" s="551" t="str">
        <f t="shared" si="50"/>
        <v/>
      </c>
      <c r="BK113" s="27"/>
      <c r="BL113" s="587" t="str">
        <f t="shared" si="62"/>
        <v/>
      </c>
      <c r="BM113" s="587" t="str">
        <f t="shared" si="63"/>
        <v/>
      </c>
      <c r="BN113" s="587" t="str">
        <f t="shared" si="64"/>
        <v/>
      </c>
      <c r="BO113" s="588" t="str">
        <f>IF(BM113="","",ROUNDDOWN(L113*VLOOKUP(K113,【参考】数式用!$A$4:$J$42,10,FALSE)*AA113,0))</f>
        <v/>
      </c>
      <c r="BP113" s="587" t="str">
        <f t="shared" si="65"/>
        <v/>
      </c>
      <c r="BQ113" s="587" t="str">
        <f t="shared" si="66"/>
        <v/>
      </c>
      <c r="BR113" s="589" t="str">
        <f t="shared" si="67"/>
        <v/>
      </c>
      <c r="BS113" s="589" t="str">
        <f t="shared" si="68"/>
        <v/>
      </c>
      <c r="BT113" s="587" t="str">
        <f t="shared" si="69"/>
        <v/>
      </c>
      <c r="BU113" s="588" t="str">
        <f>IF(BT113="Ⅱロ有り",ROUNDDOWN(L113*VLOOKUP(K113,【参考】数式用!$A$4:$J$42,10,FALSE)*AA113,0),"")</f>
        <v/>
      </c>
      <c r="BV113" s="587" t="str">
        <f>IF(BT113="Ⅱロなし",ROUNDDOWN(L113*VLOOKUP(K113,【参考】数式用!$A$4:$J$42,8,FALSE)*AA113,0),"")</f>
        <v/>
      </c>
    </row>
    <row r="114" spans="1:74">
      <c r="AP114" s="548" t="str">
        <f t="shared" si="54"/>
        <v/>
      </c>
      <c r="BK114" s="27"/>
      <c r="BL114" s="587"/>
      <c r="BM114" s="587" t="str">
        <f t="shared" si="63"/>
        <v/>
      </c>
      <c r="BN114" s="587" t="str">
        <f t="shared" si="64"/>
        <v/>
      </c>
      <c r="BO114" s="588" t="str">
        <f>IF(BM114="","",ROUNDDOWN(L114*VLOOKUP(K114,【参考】数式用!$A$4:$J$42,10,FALSE)*AA114,0))</f>
        <v/>
      </c>
      <c r="BP114" s="587" t="str">
        <f t="shared" si="65"/>
        <v/>
      </c>
      <c r="BQ114" s="587"/>
      <c r="BR114" s="587"/>
      <c r="BS114" s="589" t="str">
        <f t="shared" si="68"/>
        <v/>
      </c>
      <c r="BT114" s="587" t="str">
        <f t="shared" si="69"/>
        <v/>
      </c>
      <c r="BU114" s="588" t="str">
        <f>IF(BT114="Ⅱロ有り",ROUNDDOWN(L114*VLOOKUP(K114,【参考】数式用!$A$4:$J$42,10,FALSE)*AA114,0),"")</f>
        <v/>
      </c>
      <c r="BV114" s="587" t="str">
        <f>IF(BT114="Ⅱロなし",ROUNDDOWN(L114*VLOOKUP(K114,【参考】数式用!$A$4:$J$42,8,FALSE)*AA114,0),"")</f>
        <v/>
      </c>
    </row>
    <row r="115" spans="1:74">
      <c r="BK115" s="27"/>
      <c r="BL115" s="27"/>
      <c r="BM115" s="27"/>
      <c r="BN115" s="27"/>
      <c r="BO115" s="582" t="str">
        <f>IF(BM115="","",ROUNDDOWN(L115*VLOOKUP(K115,【参考】数式用!$A$4:$J$42,10,FALSE)*AA115,0))</f>
        <v/>
      </c>
      <c r="BP115" s="27"/>
      <c r="BQ115" s="27"/>
      <c r="BR115" s="27"/>
      <c r="BS115" s="27"/>
      <c r="BT115" s="27"/>
      <c r="BU115" s="591"/>
      <c r="BV115" s="27"/>
    </row>
    <row r="116" spans="1:74">
      <c r="BK116" s="27"/>
      <c r="BL116" s="27"/>
      <c r="BM116" s="27"/>
      <c r="BN116" s="27"/>
      <c r="BO116" s="582"/>
      <c r="BP116" s="27"/>
      <c r="BQ116" s="27"/>
      <c r="BR116" s="27"/>
      <c r="BS116" s="27"/>
      <c r="BT116" s="27"/>
      <c r="BU116" s="591"/>
      <c r="BV116" s="27"/>
    </row>
    <row r="117" spans="1:74">
      <c r="BK117" s="27"/>
      <c r="BL117" s="27"/>
      <c r="BM117" s="27"/>
      <c r="BN117" s="27"/>
      <c r="BO117" s="582"/>
      <c r="BP117" s="27"/>
      <c r="BQ117" s="27"/>
      <c r="BR117" s="27"/>
      <c r="BS117" s="27"/>
      <c r="BT117" s="27"/>
      <c r="BU117" s="591"/>
      <c r="BV117" s="27"/>
    </row>
    <row r="118" spans="1:74">
      <c r="BK118" s="27"/>
      <c r="BL118" s="27"/>
      <c r="BM118" s="27"/>
      <c r="BN118" s="27"/>
      <c r="BO118" s="582"/>
      <c r="BP118" s="27"/>
      <c r="BQ118" s="27"/>
      <c r="BR118" s="27"/>
      <c r="BS118" s="27"/>
      <c r="BT118" s="27"/>
      <c r="BU118" s="591"/>
      <c r="BV118" s="27"/>
    </row>
    <row r="119" spans="1:74">
      <c r="BK119" s="27"/>
      <c r="BL119" s="27"/>
      <c r="BM119" s="27"/>
      <c r="BN119" s="27"/>
      <c r="BO119" s="582"/>
      <c r="BP119" s="27"/>
      <c r="BQ119" s="27"/>
      <c r="BR119" s="27"/>
      <c r="BS119" s="27"/>
      <c r="BT119" s="27"/>
      <c r="BU119" s="591"/>
      <c r="BV119" s="27"/>
    </row>
  </sheetData>
  <sheetProtection formatCells="0" formatColumns="0" formatRows="0" sort="0" autoFilter="0"/>
  <dataConsolidate/>
  <mergeCells count="144">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AG6:AJ6"/>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13:F13"/>
    <mergeCell ref="B14:F14"/>
    <mergeCell ref="B15:F15"/>
    <mergeCell ref="M11:N11"/>
    <mergeCell ref="O11:O12"/>
    <mergeCell ref="P11:P12"/>
    <mergeCell ref="Q11:AB12"/>
    <mergeCell ref="AC11:AC12"/>
    <mergeCell ref="AD11:AD12"/>
    <mergeCell ref="B22:F22"/>
    <mergeCell ref="B23:F23"/>
    <mergeCell ref="B24:F24"/>
    <mergeCell ref="B25:F25"/>
    <mergeCell ref="B26:F26"/>
    <mergeCell ref="B27:F27"/>
    <mergeCell ref="B16:F16"/>
    <mergeCell ref="B17:F17"/>
    <mergeCell ref="B18:F18"/>
    <mergeCell ref="B19:F19"/>
    <mergeCell ref="B20:F20"/>
    <mergeCell ref="B21:F21"/>
    <mergeCell ref="B34:F34"/>
    <mergeCell ref="B35:F35"/>
    <mergeCell ref="B36:F36"/>
    <mergeCell ref="B37:F37"/>
    <mergeCell ref="B38:F38"/>
    <mergeCell ref="B39:F39"/>
    <mergeCell ref="B28:F28"/>
    <mergeCell ref="B29:F29"/>
    <mergeCell ref="B30:F30"/>
    <mergeCell ref="B31:F31"/>
    <mergeCell ref="B32:F32"/>
    <mergeCell ref="B33:F33"/>
    <mergeCell ref="B46:F46"/>
    <mergeCell ref="B47:F47"/>
    <mergeCell ref="B48:F48"/>
    <mergeCell ref="B49:F49"/>
    <mergeCell ref="B50:F50"/>
    <mergeCell ref="B51:F51"/>
    <mergeCell ref="B40:F40"/>
    <mergeCell ref="B41:F41"/>
    <mergeCell ref="B42:F42"/>
    <mergeCell ref="B43:F43"/>
    <mergeCell ref="B44:F44"/>
    <mergeCell ref="B45:F45"/>
    <mergeCell ref="B58:F58"/>
    <mergeCell ref="B59:F59"/>
    <mergeCell ref="B60:F60"/>
    <mergeCell ref="B61:F61"/>
    <mergeCell ref="B62:F62"/>
    <mergeCell ref="B63:F63"/>
    <mergeCell ref="B52:F52"/>
    <mergeCell ref="B53:F53"/>
    <mergeCell ref="B54:F54"/>
    <mergeCell ref="B55:F55"/>
    <mergeCell ref="B56:F56"/>
    <mergeCell ref="B57:F57"/>
    <mergeCell ref="B70:F70"/>
    <mergeCell ref="B71:F71"/>
    <mergeCell ref="B72:F72"/>
    <mergeCell ref="B73:F73"/>
    <mergeCell ref="B74:F74"/>
    <mergeCell ref="B75:F75"/>
    <mergeCell ref="B64:F64"/>
    <mergeCell ref="B65:F65"/>
    <mergeCell ref="B66:F66"/>
    <mergeCell ref="B67:F67"/>
    <mergeCell ref="B68:F68"/>
    <mergeCell ref="B69:F69"/>
    <mergeCell ref="B82:F82"/>
    <mergeCell ref="B83:F83"/>
    <mergeCell ref="B84:F84"/>
    <mergeCell ref="B85:F85"/>
    <mergeCell ref="B86:F86"/>
    <mergeCell ref="B87:F87"/>
    <mergeCell ref="B76:F76"/>
    <mergeCell ref="B77:F77"/>
    <mergeCell ref="B78:F78"/>
    <mergeCell ref="B79:F79"/>
    <mergeCell ref="B80:F80"/>
    <mergeCell ref="B81:F81"/>
    <mergeCell ref="B94:F94"/>
    <mergeCell ref="B95:F95"/>
    <mergeCell ref="B96:F96"/>
    <mergeCell ref="B97:F97"/>
    <mergeCell ref="B98:F98"/>
    <mergeCell ref="B99:F99"/>
    <mergeCell ref="B88:F88"/>
    <mergeCell ref="B89:F89"/>
    <mergeCell ref="B90:F90"/>
    <mergeCell ref="B91:F91"/>
    <mergeCell ref="B92:F92"/>
    <mergeCell ref="B93:F93"/>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s>
  <phoneticPr fontId="13"/>
  <conditionalFormatting sqref="A5:A6 K5:L7 N5:N7 P5:P8 A7:B7 A8 K8">
    <cfRule type="expression" dxfId="15" priority="4">
      <formula>$AO$2="補助金様式を都道府県に提出"</formula>
    </cfRule>
  </conditionalFormatting>
  <conditionalFormatting sqref="M13:M113">
    <cfRule type="expression" dxfId="14" priority="1">
      <formula>BL13=""</formula>
    </cfRule>
  </conditionalFormatting>
  <conditionalFormatting sqref="O13:O113">
    <cfRule type="expression" dxfId="13" priority="14">
      <formula>AP13=""</formula>
    </cfRule>
  </conditionalFormatting>
  <conditionalFormatting sqref="P13:P113">
    <cfRule type="expression" dxfId="12" priority="16">
      <formula>AND(P13&lt;#REF!, #REF!&lt;&gt;"")</formula>
    </cfRule>
  </conditionalFormatting>
  <conditionalFormatting sqref="R13:R115">
    <cfRule type="expression" dxfId="11" priority="13">
      <formula>O13&lt;&gt;""</formula>
    </cfRule>
  </conditionalFormatting>
  <conditionalFormatting sqref="T13:T113">
    <cfRule type="expression" dxfId="10" priority="12">
      <formula>O13&lt;&gt;""</formula>
    </cfRule>
  </conditionalFormatting>
  <conditionalFormatting sqref="V13:V113">
    <cfRule type="expression" dxfId="9" priority="7">
      <formula>O13&lt;&gt;""</formula>
    </cfRule>
  </conditionalFormatting>
  <conditionalFormatting sqref="X13:X113">
    <cfRule type="expression" dxfId="8" priority="11">
      <formula>O13&lt;&gt;""</formula>
    </cfRule>
  </conditionalFormatting>
  <conditionalFormatting sqref="AF13:AF113">
    <cfRule type="expression" dxfId="7" priority="10">
      <formula>AND($O13&lt;&gt;"", $AE13&lt;&gt;0, $AE13&lt;&gt;"")</formula>
    </cfRule>
  </conditionalFormatting>
  <conditionalFormatting sqref="AG13:AG113">
    <cfRule type="expression" dxfId="6" priority="9">
      <formula>O13&lt;&gt;""</formula>
    </cfRule>
  </conditionalFormatting>
  <conditionalFormatting sqref="AH13:AH113">
    <cfRule type="expression" dxfId="5" priority="8">
      <formula>AT13="AH列に色付け"</formula>
    </cfRule>
  </conditionalFormatting>
  <conditionalFormatting sqref="AI13:AI113">
    <cfRule type="expression" dxfId="4" priority="15">
      <formula>OR(O13="処遇改善加算Ⅰイ",O13="処遇改善加算Ⅰロ",O13="処遇改善加算Ⅱイ",O13="処遇改善加算Ⅱロ")</formula>
    </cfRule>
  </conditionalFormatting>
  <conditionalFormatting sqref="AJ13:AJ113">
    <cfRule type="expression" dxfId="3" priority="6">
      <formula>AZ13&lt;&gt;""</formula>
    </cfRule>
  </conditionalFormatting>
  <conditionalFormatting sqref="AK10">
    <cfRule type="expression" dxfId="2" priority="2">
      <formula>$BJ$13=0</formula>
    </cfRule>
  </conditionalFormatting>
  <conditionalFormatting sqref="AK13:AK113">
    <cfRule type="expression" dxfId="1" priority="3">
      <formula>OR($BE13="AK列色消し",$BF13="AK列色消し")</formula>
    </cfRule>
    <cfRule type="expression" dxfId="0" priority="5">
      <formula>BC13&lt;&gt;""</formula>
    </cfRule>
  </conditionalFormatting>
  <dataValidations count="7">
    <dataValidation type="list" allowBlank="1" showInputMessage="1" showErrorMessage="1" sqref="AG13:AG113" xr:uid="{33B79BF9-31B5-4F6A-ADC2-D90603E249CB}">
      <formula1>INDIRECT(AR13)</formula1>
    </dataValidation>
    <dataValidation type="list" allowBlank="1" showInputMessage="1" showErrorMessage="1" sqref="O13:O113" xr:uid="{8D0A3DE6-5001-4E8D-99BC-826FFC99D32E}">
      <formula1>INDIRECT(AO13)</formula1>
    </dataValidation>
    <dataValidation imeMode="halfAlpha" allowBlank="1" showInputMessage="1" showErrorMessage="1" sqref="G13:K113 B13:B113" xr:uid="{1F9E6306-A294-4B45-8B4C-11FDE3DD5661}"/>
    <dataValidation type="list" imeMode="halfAlpha" allowBlank="1" showDropDown="1" showInputMessage="1" showErrorMessage="1" error="このセルには８または９しか入力できません。" sqref="R13:R115 V13:V113" xr:uid="{8F6810F2-D63E-4326-8797-07EBB859EA45}">
      <formula1>"8,9"</formula1>
    </dataValidation>
    <dataValidation type="list" imeMode="halfAlpha" allowBlank="1" showDropDown="1" showInputMessage="1" showErrorMessage="1" error="このセルには１～３または６～12_x000a_の数字しか入力できません。" sqref="T13:T113 X13:X113" xr:uid="{115A883B-07DB-40D9-96E3-C5F3A0DF7864}">
      <formula1>"1,2,3,6,7,8,9,10,11,12"</formula1>
    </dataValidation>
    <dataValidation type="list" allowBlank="1" showInputMessage="1" showErrorMessage="1" sqref="AJ13:AJ113" xr:uid="{CD8C6287-56D9-4313-8ACC-AFDA5478C4FC}">
      <formula1>INDIRECT(AY13)</formula1>
    </dataValidation>
    <dataValidation type="list" allowBlank="1" showInputMessage="1" showErrorMessage="1" sqref="AK13:AK113"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9"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508031E-073D-43A4-9260-40EFF3110FFC}">
          <x14:formula1>
            <xm:f>【参考】数式用!$BF$5:$BF$8</xm:f>
          </x14:formula1>
          <xm:sqref>AH13:AH113</xm:sqref>
        </x14:dataValidation>
        <x14:dataValidation type="list" allowBlank="1" showInputMessage="1" showErrorMessage="1" xr:uid="{74C8DE15-E994-4287-AEA0-4BEE2AC2EA2B}">
          <x14:formula1>
            <xm:f>【参考】数式用!$BF$2:$BF$3</xm:f>
          </x14:formula1>
          <xm:sqref>AF13:AF113</xm:sqref>
        </x14:dataValidation>
        <x14:dataValidation type="list" allowBlank="1" showInputMessage="1" showErrorMessage="1" xr:uid="{459BEFE0-E8C3-44F2-893B-03656140DE19}">
          <x14:formula1>
            <xm:f>【参考】数式用!$BF$22:$BF$23</xm:f>
          </x14:formula1>
          <xm:sqref>AI13:AI113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I23" sqref="I23"/>
    </sheetView>
  </sheetViews>
  <sheetFormatPr defaultColWidth="9.875" defaultRowHeight="13.5"/>
  <cols>
    <col min="1" max="1" width="7.375" style="72" customWidth="1"/>
    <col min="2" max="2" width="19.875" style="72" customWidth="1"/>
    <col min="3" max="3" width="37.625" style="72" customWidth="1"/>
    <col min="4" max="4" width="47.375" style="72" customWidth="1"/>
    <col min="5" max="5" width="42.375" style="72" customWidth="1"/>
    <col min="6" max="6" width="42.875" style="72" customWidth="1"/>
    <col min="7" max="7" width="16.375" style="72" customWidth="1"/>
    <col min="8" max="8" width="44.625" style="72" customWidth="1"/>
    <col min="9" max="9" width="40.375" style="72" customWidth="1"/>
    <col min="10" max="10" width="9.875" style="69"/>
    <col min="11" max="229" width="9.875" style="63"/>
    <col min="230" max="230" width="8.375" style="63" customWidth="1"/>
    <col min="231" max="231" width="14" style="63" customWidth="1"/>
    <col min="232" max="232" width="17.875" style="63" customWidth="1"/>
    <col min="233" max="233" width="45" style="63" bestFit="1" customWidth="1"/>
    <col min="234" max="234" width="61.625" style="63" customWidth="1"/>
    <col min="235" max="235" width="20.375" style="63" customWidth="1"/>
    <col min="236" max="236" width="22.875" style="63" customWidth="1"/>
    <col min="237" max="237" width="25.125" style="63" customWidth="1"/>
    <col min="238" max="485" width="9.875" style="63"/>
    <col min="486" max="486" width="8.375" style="63" customWidth="1"/>
    <col min="487" max="487" width="14" style="63" customWidth="1"/>
    <col min="488" max="488" width="17.875" style="63" customWidth="1"/>
    <col min="489" max="489" width="45" style="63" bestFit="1" customWidth="1"/>
    <col min="490" max="490" width="61.625" style="63" customWidth="1"/>
    <col min="491" max="491" width="20.375" style="63" customWidth="1"/>
    <col min="492" max="492" width="22.875" style="63" customWidth="1"/>
    <col min="493" max="493" width="25.125" style="63" customWidth="1"/>
    <col min="494" max="741" width="9.875" style="63"/>
    <col min="742" max="742" width="8.375" style="63" customWidth="1"/>
    <col min="743" max="743" width="14" style="63" customWidth="1"/>
    <col min="744" max="744" width="17.875" style="63" customWidth="1"/>
    <col min="745" max="745" width="45" style="63" bestFit="1" customWidth="1"/>
    <col min="746" max="746" width="61.625" style="63" customWidth="1"/>
    <col min="747" max="747" width="20.375" style="63" customWidth="1"/>
    <col min="748" max="748" width="22.875" style="63" customWidth="1"/>
    <col min="749" max="749" width="25.125" style="63" customWidth="1"/>
    <col min="750" max="997" width="9.875" style="63"/>
    <col min="998" max="998" width="8.375" style="63" customWidth="1"/>
    <col min="999" max="999" width="14" style="63" customWidth="1"/>
    <col min="1000" max="1000" width="17.875" style="63" customWidth="1"/>
    <col min="1001" max="1001" width="45" style="63" bestFit="1" customWidth="1"/>
    <col min="1002" max="1002" width="61.625" style="63" customWidth="1"/>
    <col min="1003" max="1003" width="20.375" style="63" customWidth="1"/>
    <col min="1004" max="1004" width="22.875" style="63" customWidth="1"/>
    <col min="1005" max="1005" width="25.125" style="63" customWidth="1"/>
    <col min="1006" max="1253" width="9.875" style="63"/>
    <col min="1254" max="1254" width="8.375" style="63" customWidth="1"/>
    <col min="1255" max="1255" width="14" style="63" customWidth="1"/>
    <col min="1256" max="1256" width="17.875" style="63" customWidth="1"/>
    <col min="1257" max="1257" width="45" style="63" bestFit="1" customWidth="1"/>
    <col min="1258" max="1258" width="61.625" style="63" customWidth="1"/>
    <col min="1259" max="1259" width="20.375" style="63" customWidth="1"/>
    <col min="1260" max="1260" width="22.875" style="63" customWidth="1"/>
    <col min="1261" max="1261" width="25.125" style="63" customWidth="1"/>
    <col min="1262" max="1509" width="9.875" style="63"/>
    <col min="1510" max="1510" width="8.375" style="63" customWidth="1"/>
    <col min="1511" max="1511" width="14" style="63" customWidth="1"/>
    <col min="1512" max="1512" width="17.875" style="63" customWidth="1"/>
    <col min="1513" max="1513" width="45" style="63" bestFit="1" customWidth="1"/>
    <col min="1514" max="1514" width="61.625" style="63" customWidth="1"/>
    <col min="1515" max="1515" width="20.375" style="63" customWidth="1"/>
    <col min="1516" max="1516" width="22.875" style="63" customWidth="1"/>
    <col min="1517" max="1517" width="25.125" style="63" customWidth="1"/>
    <col min="1518" max="1765" width="9.875" style="63"/>
    <col min="1766" max="1766" width="8.375" style="63" customWidth="1"/>
    <col min="1767" max="1767" width="14" style="63" customWidth="1"/>
    <col min="1768" max="1768" width="17.875" style="63" customWidth="1"/>
    <col min="1769" max="1769" width="45" style="63" bestFit="1" customWidth="1"/>
    <col min="1770" max="1770" width="61.625" style="63" customWidth="1"/>
    <col min="1771" max="1771" width="20.375" style="63" customWidth="1"/>
    <col min="1772" max="1772" width="22.875" style="63" customWidth="1"/>
    <col min="1773" max="1773" width="25.125" style="63" customWidth="1"/>
    <col min="1774" max="2021" width="9.875" style="63"/>
    <col min="2022" max="2022" width="8.375" style="63" customWidth="1"/>
    <col min="2023" max="2023" width="14" style="63" customWidth="1"/>
    <col min="2024" max="2024" width="17.875" style="63" customWidth="1"/>
    <col min="2025" max="2025" width="45" style="63" bestFit="1" customWidth="1"/>
    <col min="2026" max="2026" width="61.625" style="63" customWidth="1"/>
    <col min="2027" max="2027" width="20.375" style="63" customWidth="1"/>
    <col min="2028" max="2028" width="22.875" style="63" customWidth="1"/>
    <col min="2029" max="2029" width="25.125" style="63" customWidth="1"/>
    <col min="2030" max="2277" width="9.875" style="63"/>
    <col min="2278" max="2278" width="8.375" style="63" customWidth="1"/>
    <col min="2279" max="2279" width="14" style="63" customWidth="1"/>
    <col min="2280" max="2280" width="17.875" style="63" customWidth="1"/>
    <col min="2281" max="2281" width="45" style="63" bestFit="1" customWidth="1"/>
    <col min="2282" max="2282" width="61.625" style="63" customWidth="1"/>
    <col min="2283" max="2283" width="20.375" style="63" customWidth="1"/>
    <col min="2284" max="2284" width="22.875" style="63" customWidth="1"/>
    <col min="2285" max="2285" width="25.125" style="63" customWidth="1"/>
    <col min="2286" max="2533" width="9.875" style="63"/>
    <col min="2534" max="2534" width="8.375" style="63" customWidth="1"/>
    <col min="2535" max="2535" width="14" style="63" customWidth="1"/>
    <col min="2536" max="2536" width="17.875" style="63" customWidth="1"/>
    <col min="2537" max="2537" width="45" style="63" bestFit="1" customWidth="1"/>
    <col min="2538" max="2538" width="61.625" style="63" customWidth="1"/>
    <col min="2539" max="2539" width="20.375" style="63" customWidth="1"/>
    <col min="2540" max="2540" width="22.875" style="63" customWidth="1"/>
    <col min="2541" max="2541" width="25.125" style="63" customWidth="1"/>
    <col min="2542" max="2789" width="9.875" style="63"/>
    <col min="2790" max="2790" width="8.375" style="63" customWidth="1"/>
    <col min="2791" max="2791" width="14" style="63" customWidth="1"/>
    <col min="2792" max="2792" width="17.875" style="63" customWidth="1"/>
    <col min="2793" max="2793" width="45" style="63" bestFit="1" customWidth="1"/>
    <col min="2794" max="2794" width="61.625" style="63" customWidth="1"/>
    <col min="2795" max="2795" width="20.375" style="63" customWidth="1"/>
    <col min="2796" max="2796" width="22.875" style="63" customWidth="1"/>
    <col min="2797" max="2797" width="25.125" style="63" customWidth="1"/>
    <col min="2798" max="3045" width="9.875" style="63"/>
    <col min="3046" max="3046" width="8.375" style="63" customWidth="1"/>
    <col min="3047" max="3047" width="14" style="63" customWidth="1"/>
    <col min="3048" max="3048" width="17.875" style="63" customWidth="1"/>
    <col min="3049" max="3049" width="45" style="63" bestFit="1" customWidth="1"/>
    <col min="3050" max="3050" width="61.625" style="63" customWidth="1"/>
    <col min="3051" max="3051" width="20.375" style="63" customWidth="1"/>
    <col min="3052" max="3052" width="22.875" style="63" customWidth="1"/>
    <col min="3053" max="3053" width="25.125" style="63" customWidth="1"/>
    <col min="3054" max="3301" width="9.875" style="63"/>
    <col min="3302" max="3302" width="8.375" style="63" customWidth="1"/>
    <col min="3303" max="3303" width="14" style="63" customWidth="1"/>
    <col min="3304" max="3304" width="17.875" style="63" customWidth="1"/>
    <col min="3305" max="3305" width="45" style="63" bestFit="1" customWidth="1"/>
    <col min="3306" max="3306" width="61.625" style="63" customWidth="1"/>
    <col min="3307" max="3307" width="20.375" style="63" customWidth="1"/>
    <col min="3308" max="3308" width="22.875" style="63" customWidth="1"/>
    <col min="3309" max="3309" width="25.125" style="63" customWidth="1"/>
    <col min="3310" max="3557" width="9.875" style="63"/>
    <col min="3558" max="3558" width="8.375" style="63" customWidth="1"/>
    <col min="3559" max="3559" width="14" style="63" customWidth="1"/>
    <col min="3560" max="3560" width="17.875" style="63" customWidth="1"/>
    <col min="3561" max="3561" width="45" style="63" bestFit="1" customWidth="1"/>
    <col min="3562" max="3562" width="61.625" style="63" customWidth="1"/>
    <col min="3563" max="3563" width="20.375" style="63" customWidth="1"/>
    <col min="3564" max="3564" width="22.875" style="63" customWidth="1"/>
    <col min="3565" max="3565" width="25.125" style="63" customWidth="1"/>
    <col min="3566" max="3813" width="9.875" style="63"/>
    <col min="3814" max="3814" width="8.375" style="63" customWidth="1"/>
    <col min="3815" max="3815" width="14" style="63" customWidth="1"/>
    <col min="3816" max="3816" width="17.875" style="63" customWidth="1"/>
    <col min="3817" max="3817" width="45" style="63" bestFit="1" customWidth="1"/>
    <col min="3818" max="3818" width="61.625" style="63" customWidth="1"/>
    <col min="3819" max="3819" width="20.375" style="63" customWidth="1"/>
    <col min="3820" max="3820" width="22.875" style="63" customWidth="1"/>
    <col min="3821" max="3821" width="25.125" style="63" customWidth="1"/>
    <col min="3822" max="4069" width="9.875" style="63"/>
    <col min="4070" max="4070" width="8.375" style="63" customWidth="1"/>
    <col min="4071" max="4071" width="14" style="63" customWidth="1"/>
    <col min="4072" max="4072" width="17.875" style="63" customWidth="1"/>
    <col min="4073" max="4073" width="45" style="63" bestFit="1" customWidth="1"/>
    <col min="4074" max="4074" width="61.625" style="63" customWidth="1"/>
    <col min="4075" max="4075" width="20.375" style="63" customWidth="1"/>
    <col min="4076" max="4076" width="22.875" style="63" customWidth="1"/>
    <col min="4077" max="4077" width="25.125" style="63" customWidth="1"/>
    <col min="4078" max="4325" width="9.875" style="63"/>
    <col min="4326" max="4326" width="8.375" style="63" customWidth="1"/>
    <col min="4327" max="4327" width="14" style="63" customWidth="1"/>
    <col min="4328" max="4328" width="17.875" style="63" customWidth="1"/>
    <col min="4329" max="4329" width="45" style="63" bestFit="1" customWidth="1"/>
    <col min="4330" max="4330" width="61.625" style="63" customWidth="1"/>
    <col min="4331" max="4331" width="20.375" style="63" customWidth="1"/>
    <col min="4332" max="4332" width="22.875" style="63" customWidth="1"/>
    <col min="4333" max="4333" width="25.125" style="63" customWidth="1"/>
    <col min="4334" max="4581" width="9.875" style="63"/>
    <col min="4582" max="4582" width="8.375" style="63" customWidth="1"/>
    <col min="4583" max="4583" width="14" style="63" customWidth="1"/>
    <col min="4584" max="4584" width="17.875" style="63" customWidth="1"/>
    <col min="4585" max="4585" width="45" style="63" bestFit="1" customWidth="1"/>
    <col min="4586" max="4586" width="61.625" style="63" customWidth="1"/>
    <col min="4587" max="4587" width="20.375" style="63" customWidth="1"/>
    <col min="4588" max="4588" width="22.875" style="63" customWidth="1"/>
    <col min="4589" max="4589" width="25.125" style="63" customWidth="1"/>
    <col min="4590" max="4837" width="9.875" style="63"/>
    <col min="4838" max="4838" width="8.375" style="63" customWidth="1"/>
    <col min="4839" max="4839" width="14" style="63" customWidth="1"/>
    <col min="4840" max="4840" width="17.875" style="63" customWidth="1"/>
    <col min="4841" max="4841" width="45" style="63" bestFit="1" customWidth="1"/>
    <col min="4842" max="4842" width="61.625" style="63" customWidth="1"/>
    <col min="4843" max="4843" width="20.375" style="63" customWidth="1"/>
    <col min="4844" max="4844" width="22.875" style="63" customWidth="1"/>
    <col min="4845" max="4845" width="25.125" style="63" customWidth="1"/>
    <col min="4846" max="5093" width="9.875" style="63"/>
    <col min="5094" max="5094" width="8.375" style="63" customWidth="1"/>
    <col min="5095" max="5095" width="14" style="63" customWidth="1"/>
    <col min="5096" max="5096" width="17.875" style="63" customWidth="1"/>
    <col min="5097" max="5097" width="45" style="63" bestFit="1" customWidth="1"/>
    <col min="5098" max="5098" width="61.625" style="63" customWidth="1"/>
    <col min="5099" max="5099" width="20.375" style="63" customWidth="1"/>
    <col min="5100" max="5100" width="22.875" style="63" customWidth="1"/>
    <col min="5101" max="5101" width="25.125" style="63" customWidth="1"/>
    <col min="5102" max="5349" width="9.875" style="63"/>
    <col min="5350" max="5350" width="8.375" style="63" customWidth="1"/>
    <col min="5351" max="5351" width="14" style="63" customWidth="1"/>
    <col min="5352" max="5352" width="17.875" style="63" customWidth="1"/>
    <col min="5353" max="5353" width="45" style="63" bestFit="1" customWidth="1"/>
    <col min="5354" max="5354" width="61.625" style="63" customWidth="1"/>
    <col min="5355" max="5355" width="20.375" style="63" customWidth="1"/>
    <col min="5356" max="5356" width="22.875" style="63" customWidth="1"/>
    <col min="5357" max="5357" width="25.125" style="63" customWidth="1"/>
    <col min="5358" max="5605" width="9.875" style="63"/>
    <col min="5606" max="5606" width="8.375" style="63" customWidth="1"/>
    <col min="5607" max="5607" width="14" style="63" customWidth="1"/>
    <col min="5608" max="5608" width="17.875" style="63" customWidth="1"/>
    <col min="5609" max="5609" width="45" style="63" bestFit="1" customWidth="1"/>
    <col min="5610" max="5610" width="61.625" style="63" customWidth="1"/>
    <col min="5611" max="5611" width="20.375" style="63" customWidth="1"/>
    <col min="5612" max="5612" width="22.875" style="63" customWidth="1"/>
    <col min="5613" max="5613" width="25.125" style="63" customWidth="1"/>
    <col min="5614" max="5861" width="9.875" style="63"/>
    <col min="5862" max="5862" width="8.375" style="63" customWidth="1"/>
    <col min="5863" max="5863" width="14" style="63" customWidth="1"/>
    <col min="5864" max="5864" width="17.875" style="63" customWidth="1"/>
    <col min="5865" max="5865" width="45" style="63" bestFit="1" customWidth="1"/>
    <col min="5866" max="5866" width="61.625" style="63" customWidth="1"/>
    <col min="5867" max="5867" width="20.375" style="63" customWidth="1"/>
    <col min="5868" max="5868" width="22.875" style="63" customWidth="1"/>
    <col min="5869" max="5869" width="25.125" style="63" customWidth="1"/>
    <col min="5870" max="6117" width="9.875" style="63"/>
    <col min="6118" max="6118" width="8.375" style="63" customWidth="1"/>
    <col min="6119" max="6119" width="14" style="63" customWidth="1"/>
    <col min="6120" max="6120" width="17.875" style="63" customWidth="1"/>
    <col min="6121" max="6121" width="45" style="63" bestFit="1" customWidth="1"/>
    <col min="6122" max="6122" width="61.625" style="63" customWidth="1"/>
    <col min="6123" max="6123" width="20.375" style="63" customWidth="1"/>
    <col min="6124" max="6124" width="22.875" style="63" customWidth="1"/>
    <col min="6125" max="6125" width="25.125" style="63" customWidth="1"/>
    <col min="6126" max="6373" width="9.875" style="63"/>
    <col min="6374" max="6374" width="8.375" style="63" customWidth="1"/>
    <col min="6375" max="6375" width="14" style="63" customWidth="1"/>
    <col min="6376" max="6376" width="17.875" style="63" customWidth="1"/>
    <col min="6377" max="6377" width="45" style="63" bestFit="1" customWidth="1"/>
    <col min="6378" max="6378" width="61.625" style="63" customWidth="1"/>
    <col min="6379" max="6379" width="20.375" style="63" customWidth="1"/>
    <col min="6380" max="6380" width="22.875" style="63" customWidth="1"/>
    <col min="6381" max="6381" width="25.125" style="63" customWidth="1"/>
    <col min="6382" max="6629" width="9.875" style="63"/>
    <col min="6630" max="6630" width="8.375" style="63" customWidth="1"/>
    <col min="6631" max="6631" width="14" style="63" customWidth="1"/>
    <col min="6632" max="6632" width="17.875" style="63" customWidth="1"/>
    <col min="6633" max="6633" width="45" style="63" bestFit="1" customWidth="1"/>
    <col min="6634" max="6634" width="61.625" style="63" customWidth="1"/>
    <col min="6635" max="6635" width="20.375" style="63" customWidth="1"/>
    <col min="6636" max="6636" width="22.875" style="63" customWidth="1"/>
    <col min="6637" max="6637" width="25.125" style="63" customWidth="1"/>
    <col min="6638" max="6885" width="9.875" style="63"/>
    <col min="6886" max="6886" width="8.375" style="63" customWidth="1"/>
    <col min="6887" max="6887" width="14" style="63" customWidth="1"/>
    <col min="6888" max="6888" width="17.875" style="63" customWidth="1"/>
    <col min="6889" max="6889" width="45" style="63" bestFit="1" customWidth="1"/>
    <col min="6890" max="6890" width="61.625" style="63" customWidth="1"/>
    <col min="6891" max="6891" width="20.375" style="63" customWidth="1"/>
    <col min="6892" max="6892" width="22.875" style="63" customWidth="1"/>
    <col min="6893" max="6893" width="25.125" style="63" customWidth="1"/>
    <col min="6894" max="7141" width="9.875" style="63"/>
    <col min="7142" max="7142" width="8.375" style="63" customWidth="1"/>
    <col min="7143" max="7143" width="14" style="63" customWidth="1"/>
    <col min="7144" max="7144" width="17.875" style="63" customWidth="1"/>
    <col min="7145" max="7145" width="45" style="63" bestFit="1" customWidth="1"/>
    <col min="7146" max="7146" width="61.625" style="63" customWidth="1"/>
    <col min="7147" max="7147" width="20.375" style="63" customWidth="1"/>
    <col min="7148" max="7148" width="22.875" style="63" customWidth="1"/>
    <col min="7149" max="7149" width="25.125" style="63" customWidth="1"/>
    <col min="7150" max="7397" width="9.875" style="63"/>
    <col min="7398" max="7398" width="8.375" style="63" customWidth="1"/>
    <col min="7399" max="7399" width="14" style="63" customWidth="1"/>
    <col min="7400" max="7400" width="17.875" style="63" customWidth="1"/>
    <col min="7401" max="7401" width="45" style="63" bestFit="1" customWidth="1"/>
    <col min="7402" max="7402" width="61.625" style="63" customWidth="1"/>
    <col min="7403" max="7403" width="20.375" style="63" customWidth="1"/>
    <col min="7404" max="7404" width="22.875" style="63" customWidth="1"/>
    <col min="7405" max="7405" width="25.125" style="63" customWidth="1"/>
    <col min="7406" max="7653" width="9.875" style="63"/>
    <col min="7654" max="7654" width="8.375" style="63" customWidth="1"/>
    <col min="7655" max="7655" width="14" style="63" customWidth="1"/>
    <col min="7656" max="7656" width="17.875" style="63" customWidth="1"/>
    <col min="7657" max="7657" width="45" style="63" bestFit="1" customWidth="1"/>
    <col min="7658" max="7658" width="61.625" style="63" customWidth="1"/>
    <col min="7659" max="7659" width="20.375" style="63" customWidth="1"/>
    <col min="7660" max="7660" width="22.875" style="63" customWidth="1"/>
    <col min="7661" max="7661" width="25.125" style="63" customWidth="1"/>
    <col min="7662" max="7909" width="9.875" style="63"/>
    <col min="7910" max="7910" width="8.375" style="63" customWidth="1"/>
    <col min="7911" max="7911" width="14" style="63" customWidth="1"/>
    <col min="7912" max="7912" width="17.875" style="63" customWidth="1"/>
    <col min="7913" max="7913" width="45" style="63" bestFit="1" customWidth="1"/>
    <col min="7914" max="7914" width="61.625" style="63" customWidth="1"/>
    <col min="7915" max="7915" width="20.375" style="63" customWidth="1"/>
    <col min="7916" max="7916" width="22.875" style="63" customWidth="1"/>
    <col min="7917" max="7917" width="25.125" style="63" customWidth="1"/>
    <col min="7918" max="8165" width="9.875" style="63"/>
    <col min="8166" max="8166" width="8.375" style="63" customWidth="1"/>
    <col min="8167" max="8167" width="14" style="63" customWidth="1"/>
    <col min="8168" max="8168" width="17.875" style="63" customWidth="1"/>
    <col min="8169" max="8169" width="45" style="63" bestFit="1" customWidth="1"/>
    <col min="8170" max="8170" width="61.625" style="63" customWidth="1"/>
    <col min="8171" max="8171" width="20.375" style="63" customWidth="1"/>
    <col min="8172" max="8172" width="22.875" style="63" customWidth="1"/>
    <col min="8173" max="8173" width="25.125" style="63" customWidth="1"/>
    <col min="8174" max="8421" width="9.875" style="63"/>
    <col min="8422" max="8422" width="8.375" style="63" customWidth="1"/>
    <col min="8423" max="8423" width="14" style="63" customWidth="1"/>
    <col min="8424" max="8424" width="17.875" style="63" customWidth="1"/>
    <col min="8425" max="8425" width="45" style="63" bestFit="1" customWidth="1"/>
    <col min="8426" max="8426" width="61.625" style="63" customWidth="1"/>
    <col min="8427" max="8427" width="20.375" style="63" customWidth="1"/>
    <col min="8428" max="8428" width="22.875" style="63" customWidth="1"/>
    <col min="8429" max="8429" width="25.125" style="63" customWidth="1"/>
    <col min="8430" max="8677" width="9.875" style="63"/>
    <col min="8678" max="8678" width="8.375" style="63" customWidth="1"/>
    <col min="8679" max="8679" width="14" style="63" customWidth="1"/>
    <col min="8680" max="8680" width="17.875" style="63" customWidth="1"/>
    <col min="8681" max="8681" width="45" style="63" bestFit="1" customWidth="1"/>
    <col min="8682" max="8682" width="61.625" style="63" customWidth="1"/>
    <col min="8683" max="8683" width="20.375" style="63" customWidth="1"/>
    <col min="8684" max="8684" width="22.875" style="63" customWidth="1"/>
    <col min="8685" max="8685" width="25.125" style="63" customWidth="1"/>
    <col min="8686" max="8933" width="9.875" style="63"/>
    <col min="8934" max="8934" width="8.375" style="63" customWidth="1"/>
    <col min="8935" max="8935" width="14" style="63" customWidth="1"/>
    <col min="8936" max="8936" width="17.875" style="63" customWidth="1"/>
    <col min="8937" max="8937" width="45" style="63" bestFit="1" customWidth="1"/>
    <col min="8938" max="8938" width="61.625" style="63" customWidth="1"/>
    <col min="8939" max="8939" width="20.375" style="63" customWidth="1"/>
    <col min="8940" max="8940" width="22.875" style="63" customWidth="1"/>
    <col min="8941" max="8941" width="25.125" style="63" customWidth="1"/>
    <col min="8942" max="9189" width="9.875" style="63"/>
    <col min="9190" max="9190" width="8.375" style="63" customWidth="1"/>
    <col min="9191" max="9191" width="14" style="63" customWidth="1"/>
    <col min="9192" max="9192" width="17.875" style="63" customWidth="1"/>
    <col min="9193" max="9193" width="45" style="63" bestFit="1" customWidth="1"/>
    <col min="9194" max="9194" width="61.625" style="63" customWidth="1"/>
    <col min="9195" max="9195" width="20.375" style="63" customWidth="1"/>
    <col min="9196" max="9196" width="22.875" style="63" customWidth="1"/>
    <col min="9197" max="9197" width="25.125" style="63" customWidth="1"/>
    <col min="9198" max="9445" width="9.875" style="63"/>
    <col min="9446" max="9446" width="8.375" style="63" customWidth="1"/>
    <col min="9447" max="9447" width="14" style="63" customWidth="1"/>
    <col min="9448" max="9448" width="17.875" style="63" customWidth="1"/>
    <col min="9449" max="9449" width="45" style="63" bestFit="1" customWidth="1"/>
    <col min="9450" max="9450" width="61.625" style="63" customWidth="1"/>
    <col min="9451" max="9451" width="20.375" style="63" customWidth="1"/>
    <col min="9452" max="9452" width="22.875" style="63" customWidth="1"/>
    <col min="9453" max="9453" width="25.125" style="63" customWidth="1"/>
    <col min="9454" max="9701" width="9.875" style="63"/>
    <col min="9702" max="9702" width="8.375" style="63" customWidth="1"/>
    <col min="9703" max="9703" width="14" style="63" customWidth="1"/>
    <col min="9704" max="9704" width="17.875" style="63" customWidth="1"/>
    <col min="9705" max="9705" width="45" style="63" bestFit="1" customWidth="1"/>
    <col min="9706" max="9706" width="61.625" style="63" customWidth="1"/>
    <col min="9707" max="9707" width="20.375" style="63" customWidth="1"/>
    <col min="9708" max="9708" width="22.875" style="63" customWidth="1"/>
    <col min="9709" max="9709" width="25.125" style="63" customWidth="1"/>
    <col min="9710" max="9957" width="9.875" style="63"/>
    <col min="9958" max="9958" width="8.375" style="63" customWidth="1"/>
    <col min="9959" max="9959" width="14" style="63" customWidth="1"/>
    <col min="9960" max="9960" width="17.875" style="63" customWidth="1"/>
    <col min="9961" max="9961" width="45" style="63" bestFit="1" customWidth="1"/>
    <col min="9962" max="9962" width="61.625" style="63" customWidth="1"/>
    <col min="9963" max="9963" width="20.375" style="63" customWidth="1"/>
    <col min="9964" max="9964" width="22.875" style="63" customWidth="1"/>
    <col min="9965" max="9965" width="25.125" style="63" customWidth="1"/>
    <col min="9966" max="10213" width="9.875" style="63"/>
    <col min="10214" max="10214" width="8.375" style="63" customWidth="1"/>
    <col min="10215" max="10215" width="14" style="63" customWidth="1"/>
    <col min="10216" max="10216" width="17.875" style="63" customWidth="1"/>
    <col min="10217" max="10217" width="45" style="63" bestFit="1" customWidth="1"/>
    <col min="10218" max="10218" width="61.625" style="63" customWidth="1"/>
    <col min="10219" max="10219" width="20.375" style="63" customWidth="1"/>
    <col min="10220" max="10220" width="22.875" style="63" customWidth="1"/>
    <col min="10221" max="10221" width="25.125" style="63" customWidth="1"/>
    <col min="10222" max="10469" width="9.875" style="63"/>
    <col min="10470" max="10470" width="8.375" style="63" customWidth="1"/>
    <col min="10471" max="10471" width="14" style="63" customWidth="1"/>
    <col min="10472" max="10472" width="17.875" style="63" customWidth="1"/>
    <col min="10473" max="10473" width="45" style="63" bestFit="1" customWidth="1"/>
    <col min="10474" max="10474" width="61.625" style="63" customWidth="1"/>
    <col min="10475" max="10475" width="20.375" style="63" customWidth="1"/>
    <col min="10476" max="10476" width="22.875" style="63" customWidth="1"/>
    <col min="10477" max="10477" width="25.125" style="63" customWidth="1"/>
    <col min="10478" max="10725" width="9.875" style="63"/>
    <col min="10726" max="10726" width="8.375" style="63" customWidth="1"/>
    <col min="10727" max="10727" width="14" style="63" customWidth="1"/>
    <col min="10728" max="10728" width="17.875" style="63" customWidth="1"/>
    <col min="10729" max="10729" width="45" style="63" bestFit="1" customWidth="1"/>
    <col min="10730" max="10730" width="61.625" style="63" customWidth="1"/>
    <col min="10731" max="10731" width="20.375" style="63" customWidth="1"/>
    <col min="10732" max="10732" width="22.875" style="63" customWidth="1"/>
    <col min="10733" max="10733" width="25.125" style="63" customWidth="1"/>
    <col min="10734" max="10981" width="9.875" style="63"/>
    <col min="10982" max="10982" width="8.375" style="63" customWidth="1"/>
    <col min="10983" max="10983" width="14" style="63" customWidth="1"/>
    <col min="10984" max="10984" width="17.875" style="63" customWidth="1"/>
    <col min="10985" max="10985" width="45" style="63" bestFit="1" customWidth="1"/>
    <col min="10986" max="10986" width="61.625" style="63" customWidth="1"/>
    <col min="10987" max="10987" width="20.375" style="63" customWidth="1"/>
    <col min="10988" max="10988" width="22.875" style="63" customWidth="1"/>
    <col min="10989" max="10989" width="25.125" style="63" customWidth="1"/>
    <col min="10990" max="11237" width="9.875" style="63"/>
    <col min="11238" max="11238" width="8.375" style="63" customWidth="1"/>
    <col min="11239" max="11239" width="14" style="63" customWidth="1"/>
    <col min="11240" max="11240" width="17.875" style="63" customWidth="1"/>
    <col min="11241" max="11241" width="45" style="63" bestFit="1" customWidth="1"/>
    <col min="11242" max="11242" width="61.625" style="63" customWidth="1"/>
    <col min="11243" max="11243" width="20.375" style="63" customWidth="1"/>
    <col min="11244" max="11244" width="22.875" style="63" customWidth="1"/>
    <col min="11245" max="11245" width="25.125" style="63" customWidth="1"/>
    <col min="11246" max="11493" width="9.875" style="63"/>
    <col min="11494" max="11494" width="8.375" style="63" customWidth="1"/>
    <col min="11495" max="11495" width="14" style="63" customWidth="1"/>
    <col min="11496" max="11496" width="17.875" style="63" customWidth="1"/>
    <col min="11497" max="11497" width="45" style="63" bestFit="1" customWidth="1"/>
    <col min="11498" max="11498" width="61.625" style="63" customWidth="1"/>
    <col min="11499" max="11499" width="20.375" style="63" customWidth="1"/>
    <col min="11500" max="11500" width="22.875" style="63" customWidth="1"/>
    <col min="11501" max="11501" width="25.125" style="63" customWidth="1"/>
    <col min="11502" max="11749" width="9.875" style="63"/>
    <col min="11750" max="11750" width="8.375" style="63" customWidth="1"/>
    <col min="11751" max="11751" width="14" style="63" customWidth="1"/>
    <col min="11752" max="11752" width="17.875" style="63" customWidth="1"/>
    <col min="11753" max="11753" width="45" style="63" bestFit="1" customWidth="1"/>
    <col min="11754" max="11754" width="61.625" style="63" customWidth="1"/>
    <col min="11755" max="11755" width="20.375" style="63" customWidth="1"/>
    <col min="11756" max="11756" width="22.875" style="63" customWidth="1"/>
    <col min="11757" max="11757" width="25.125" style="63" customWidth="1"/>
    <col min="11758" max="12005" width="9.875" style="63"/>
    <col min="12006" max="12006" width="8.375" style="63" customWidth="1"/>
    <col min="12007" max="12007" width="14" style="63" customWidth="1"/>
    <col min="12008" max="12008" width="17.875" style="63" customWidth="1"/>
    <col min="12009" max="12009" width="45" style="63" bestFit="1" customWidth="1"/>
    <col min="12010" max="12010" width="61.625" style="63" customWidth="1"/>
    <col min="12011" max="12011" width="20.375" style="63" customWidth="1"/>
    <col min="12012" max="12012" width="22.875" style="63" customWidth="1"/>
    <col min="12013" max="12013" width="25.125" style="63" customWidth="1"/>
    <col min="12014" max="12261" width="9.875" style="63"/>
    <col min="12262" max="12262" width="8.375" style="63" customWidth="1"/>
    <col min="12263" max="12263" width="14" style="63" customWidth="1"/>
    <col min="12264" max="12264" width="17.875" style="63" customWidth="1"/>
    <col min="12265" max="12265" width="45" style="63" bestFit="1" customWidth="1"/>
    <col min="12266" max="12266" width="61.625" style="63" customWidth="1"/>
    <col min="12267" max="12267" width="20.375" style="63" customWidth="1"/>
    <col min="12268" max="12268" width="22.875" style="63" customWidth="1"/>
    <col min="12269" max="12269" width="25.125" style="63" customWidth="1"/>
    <col min="12270" max="12517" width="9.875" style="63"/>
    <col min="12518" max="12518" width="8.375" style="63" customWidth="1"/>
    <col min="12519" max="12519" width="14" style="63" customWidth="1"/>
    <col min="12520" max="12520" width="17.875" style="63" customWidth="1"/>
    <col min="12521" max="12521" width="45" style="63" bestFit="1" customWidth="1"/>
    <col min="12522" max="12522" width="61.625" style="63" customWidth="1"/>
    <col min="12523" max="12523" width="20.375" style="63" customWidth="1"/>
    <col min="12524" max="12524" width="22.875" style="63" customWidth="1"/>
    <col min="12525" max="12525" width="25.125" style="63" customWidth="1"/>
    <col min="12526" max="12773" width="9.875" style="63"/>
    <col min="12774" max="12774" width="8.375" style="63" customWidth="1"/>
    <col min="12775" max="12775" width="14" style="63" customWidth="1"/>
    <col min="12776" max="12776" width="17.875" style="63" customWidth="1"/>
    <col min="12777" max="12777" width="45" style="63" bestFit="1" customWidth="1"/>
    <col min="12778" max="12778" width="61.625" style="63" customWidth="1"/>
    <col min="12779" max="12779" width="20.375" style="63" customWidth="1"/>
    <col min="12780" max="12780" width="22.875" style="63" customWidth="1"/>
    <col min="12781" max="12781" width="25.125" style="63" customWidth="1"/>
    <col min="12782" max="13029" width="9.875" style="63"/>
    <col min="13030" max="13030" width="8.375" style="63" customWidth="1"/>
    <col min="13031" max="13031" width="14" style="63" customWidth="1"/>
    <col min="13032" max="13032" width="17.875" style="63" customWidth="1"/>
    <col min="13033" max="13033" width="45" style="63" bestFit="1" customWidth="1"/>
    <col min="13034" max="13034" width="61.625" style="63" customWidth="1"/>
    <col min="13035" max="13035" width="20.375" style="63" customWidth="1"/>
    <col min="13036" max="13036" width="22.875" style="63" customWidth="1"/>
    <col min="13037" max="13037" width="25.125" style="63" customWidth="1"/>
    <col min="13038" max="13285" width="9.875" style="63"/>
    <col min="13286" max="13286" width="8.375" style="63" customWidth="1"/>
    <col min="13287" max="13287" width="14" style="63" customWidth="1"/>
    <col min="13288" max="13288" width="17.875" style="63" customWidth="1"/>
    <col min="13289" max="13289" width="45" style="63" bestFit="1" customWidth="1"/>
    <col min="13290" max="13290" width="61.625" style="63" customWidth="1"/>
    <col min="13291" max="13291" width="20.375" style="63" customWidth="1"/>
    <col min="13292" max="13292" width="22.875" style="63" customWidth="1"/>
    <col min="13293" max="13293" width="25.125" style="63" customWidth="1"/>
    <col min="13294" max="13541" width="9.875" style="63"/>
    <col min="13542" max="13542" width="8.375" style="63" customWidth="1"/>
    <col min="13543" max="13543" width="14" style="63" customWidth="1"/>
    <col min="13544" max="13544" width="17.875" style="63" customWidth="1"/>
    <col min="13545" max="13545" width="45" style="63" bestFit="1" customWidth="1"/>
    <col min="13546" max="13546" width="61.625" style="63" customWidth="1"/>
    <col min="13547" max="13547" width="20.375" style="63" customWidth="1"/>
    <col min="13548" max="13548" width="22.875" style="63" customWidth="1"/>
    <col min="13549" max="13549" width="25.125" style="63" customWidth="1"/>
    <col min="13550" max="13797" width="9.875" style="63"/>
    <col min="13798" max="13798" width="8.375" style="63" customWidth="1"/>
    <col min="13799" max="13799" width="14" style="63" customWidth="1"/>
    <col min="13800" max="13800" width="17.875" style="63" customWidth="1"/>
    <col min="13801" max="13801" width="45" style="63" bestFit="1" customWidth="1"/>
    <col min="13802" max="13802" width="61.625" style="63" customWidth="1"/>
    <col min="13803" max="13803" width="20.375" style="63" customWidth="1"/>
    <col min="13804" max="13804" width="22.875" style="63" customWidth="1"/>
    <col min="13805" max="13805" width="25.125" style="63" customWidth="1"/>
    <col min="13806" max="14053" width="9.875" style="63"/>
    <col min="14054" max="14054" width="8.375" style="63" customWidth="1"/>
    <col min="14055" max="14055" width="14" style="63" customWidth="1"/>
    <col min="14056" max="14056" width="17.875" style="63" customWidth="1"/>
    <col min="14057" max="14057" width="45" style="63" bestFit="1" customWidth="1"/>
    <col min="14058" max="14058" width="61.625" style="63" customWidth="1"/>
    <col min="14059" max="14059" width="20.375" style="63" customWidth="1"/>
    <col min="14060" max="14060" width="22.875" style="63" customWidth="1"/>
    <col min="14061" max="14061" width="25.125" style="63" customWidth="1"/>
    <col min="14062" max="14309" width="9.875" style="63"/>
    <col min="14310" max="14310" width="8.375" style="63" customWidth="1"/>
    <col min="14311" max="14311" width="14" style="63" customWidth="1"/>
    <col min="14312" max="14312" width="17.875" style="63" customWidth="1"/>
    <col min="14313" max="14313" width="45" style="63" bestFit="1" customWidth="1"/>
    <col min="14314" max="14314" width="61.625" style="63" customWidth="1"/>
    <col min="14315" max="14315" width="20.375" style="63" customWidth="1"/>
    <col min="14316" max="14316" width="22.875" style="63" customWidth="1"/>
    <col min="14317" max="14317" width="25.125" style="63" customWidth="1"/>
    <col min="14318" max="14565" width="9.875" style="63"/>
    <col min="14566" max="14566" width="8.375" style="63" customWidth="1"/>
    <col min="14567" max="14567" width="14" style="63" customWidth="1"/>
    <col min="14568" max="14568" width="17.875" style="63" customWidth="1"/>
    <col min="14569" max="14569" width="45" style="63" bestFit="1" customWidth="1"/>
    <col min="14570" max="14570" width="61.625" style="63" customWidth="1"/>
    <col min="14571" max="14571" width="20.375" style="63" customWidth="1"/>
    <col min="14572" max="14572" width="22.875" style="63" customWidth="1"/>
    <col min="14573" max="14573" width="25.125" style="63" customWidth="1"/>
    <col min="14574" max="14821" width="9.875" style="63"/>
    <col min="14822" max="14822" width="8.375" style="63" customWidth="1"/>
    <col min="14823" max="14823" width="14" style="63" customWidth="1"/>
    <col min="14824" max="14824" width="17.875" style="63" customWidth="1"/>
    <col min="14825" max="14825" width="45" style="63" bestFit="1" customWidth="1"/>
    <col min="14826" max="14826" width="61.625" style="63" customWidth="1"/>
    <col min="14827" max="14827" width="20.375" style="63" customWidth="1"/>
    <col min="14828" max="14828" width="22.875" style="63" customWidth="1"/>
    <col min="14829" max="14829" width="25.125" style="63" customWidth="1"/>
    <col min="14830" max="15077" width="9.875" style="63"/>
    <col min="15078" max="15078" width="8.375" style="63" customWidth="1"/>
    <col min="15079" max="15079" width="14" style="63" customWidth="1"/>
    <col min="15080" max="15080" width="17.875" style="63" customWidth="1"/>
    <col min="15081" max="15081" width="45" style="63" bestFit="1" customWidth="1"/>
    <col min="15082" max="15082" width="61.625" style="63" customWidth="1"/>
    <col min="15083" max="15083" width="20.375" style="63" customWidth="1"/>
    <col min="15084" max="15084" width="22.875" style="63" customWidth="1"/>
    <col min="15085" max="15085" width="25.125" style="63" customWidth="1"/>
    <col min="15086" max="15333" width="9.875" style="63"/>
    <col min="15334" max="15334" width="8.375" style="63" customWidth="1"/>
    <col min="15335" max="15335" width="14" style="63" customWidth="1"/>
    <col min="15336" max="15336" width="17.875" style="63" customWidth="1"/>
    <col min="15337" max="15337" width="45" style="63" bestFit="1" customWidth="1"/>
    <col min="15338" max="15338" width="61.625" style="63" customWidth="1"/>
    <col min="15339" max="15339" width="20.375" style="63" customWidth="1"/>
    <col min="15340" max="15340" width="22.875" style="63" customWidth="1"/>
    <col min="15341" max="15341" width="25.125" style="63" customWidth="1"/>
    <col min="15342" max="15589" width="9.875" style="63"/>
    <col min="15590" max="15590" width="8.375" style="63" customWidth="1"/>
    <col min="15591" max="15591" width="14" style="63" customWidth="1"/>
    <col min="15592" max="15592" width="17.875" style="63" customWidth="1"/>
    <col min="15593" max="15593" width="45" style="63" bestFit="1" customWidth="1"/>
    <col min="15594" max="15594" width="61.625" style="63" customWidth="1"/>
    <col min="15595" max="15595" width="20.375" style="63" customWidth="1"/>
    <col min="15596" max="15596" width="22.875" style="63" customWidth="1"/>
    <col min="15597" max="15597" width="25.125" style="63" customWidth="1"/>
    <col min="15598" max="15845" width="9.875" style="63"/>
    <col min="15846" max="15846" width="8.375" style="63" customWidth="1"/>
    <col min="15847" max="15847" width="14" style="63" customWidth="1"/>
    <col min="15848" max="15848" width="17.875" style="63" customWidth="1"/>
    <col min="15849" max="15849" width="45" style="63" bestFit="1" customWidth="1"/>
    <col min="15850" max="15850" width="61.625" style="63" customWidth="1"/>
    <col min="15851" max="15851" width="20.375" style="63" customWidth="1"/>
    <col min="15852" max="15852" width="22.875" style="63" customWidth="1"/>
    <col min="15853" max="15853" width="25.125" style="63" customWidth="1"/>
    <col min="15854" max="16101" width="9.875" style="63"/>
    <col min="16102" max="16102" width="8.375" style="63" customWidth="1"/>
    <col min="16103" max="16103" width="14" style="63" customWidth="1"/>
    <col min="16104" max="16104" width="17.875" style="63" customWidth="1"/>
    <col min="16105" max="16105" width="45" style="63" bestFit="1" customWidth="1"/>
    <col min="16106" max="16106" width="61.625" style="63" customWidth="1"/>
    <col min="16107" max="16107" width="20.375" style="63" customWidth="1"/>
    <col min="16108" max="16108" width="22.875" style="63" customWidth="1"/>
    <col min="16109" max="16109" width="25.125" style="63" customWidth="1"/>
    <col min="16110" max="16384" width="9.875" style="63"/>
  </cols>
  <sheetData>
    <row r="1" spans="1:10" s="107" customFormat="1" ht="40.15" customHeight="1">
      <c r="A1" s="76" t="s">
        <v>198</v>
      </c>
      <c r="B1" s="106"/>
      <c r="C1" s="73"/>
      <c r="D1" s="73"/>
      <c r="E1" s="73"/>
      <c r="F1" s="73"/>
      <c r="G1" s="73"/>
      <c r="H1" s="73"/>
      <c r="I1" s="73"/>
      <c r="J1" s="73"/>
    </row>
    <row r="2" spans="1:10" s="74" customFormat="1" ht="19.899999999999999" customHeight="1">
      <c r="A2" s="76"/>
      <c r="B2" s="75"/>
      <c r="C2" s="73"/>
      <c r="D2" s="73"/>
      <c r="E2" s="73"/>
      <c r="F2" s="73"/>
      <c r="G2" s="73"/>
      <c r="H2" s="73"/>
      <c r="I2" s="73"/>
      <c r="J2" s="73"/>
    </row>
    <row r="3" spans="1:10" s="108" customFormat="1" ht="39.6" customHeight="1">
      <c r="A3" s="73"/>
      <c r="B3" s="1032" t="s">
        <v>199</v>
      </c>
      <c r="C3" s="1032"/>
      <c r="D3" s="1032"/>
      <c r="E3" s="1032"/>
      <c r="F3" s="1032"/>
      <c r="G3" s="1032"/>
      <c r="H3" s="1032"/>
      <c r="I3" s="1032"/>
      <c r="J3" s="73"/>
    </row>
    <row r="4" spans="1:10" s="74" customFormat="1" ht="25.15" customHeight="1">
      <c r="A4" s="73"/>
      <c r="B4" s="1029" t="s">
        <v>200</v>
      </c>
      <c r="C4" s="1030"/>
      <c r="D4" s="1030"/>
      <c r="E4" s="1030"/>
      <c r="F4" s="1030"/>
      <c r="G4" s="1030"/>
      <c r="H4" s="1030"/>
      <c r="I4" s="1031"/>
      <c r="J4" s="73"/>
    </row>
    <row r="5" spans="1:10" s="74" customFormat="1" ht="25.15" customHeight="1">
      <c r="A5" s="73"/>
      <c r="B5" s="109" t="s">
        <v>201</v>
      </c>
      <c r="C5" s="1029" t="s">
        <v>202</v>
      </c>
      <c r="D5" s="1030"/>
      <c r="E5" s="1030"/>
      <c r="F5" s="1030"/>
      <c r="G5" s="1030"/>
      <c r="H5" s="1030"/>
      <c r="I5" s="1031"/>
      <c r="J5" s="73"/>
    </row>
    <row r="6" spans="1:10" s="74" customFormat="1" ht="25.15" customHeight="1">
      <c r="A6" s="73"/>
      <c r="B6" s="109" t="s">
        <v>203</v>
      </c>
      <c r="C6" s="1029" t="s">
        <v>204</v>
      </c>
      <c r="D6" s="1030"/>
      <c r="E6" s="1030"/>
      <c r="F6" s="1030"/>
      <c r="G6" s="1030"/>
      <c r="H6" s="1030"/>
      <c r="I6" s="1031"/>
      <c r="J6" s="73"/>
    </row>
    <row r="7" spans="1:10" s="74" customFormat="1" ht="25.15" customHeight="1">
      <c r="A7" s="73"/>
      <c r="B7" s="109" t="s">
        <v>205</v>
      </c>
      <c r="C7" s="1029" t="s">
        <v>206</v>
      </c>
      <c r="D7" s="1030"/>
      <c r="E7" s="1030"/>
      <c r="F7" s="1030"/>
      <c r="G7" s="1030"/>
      <c r="H7" s="1030"/>
      <c r="I7" s="1031"/>
      <c r="J7" s="73"/>
    </row>
    <row r="8" spans="1:10" s="74" customFormat="1" ht="25.15" customHeight="1">
      <c r="A8" s="73"/>
      <c r="B8" s="110"/>
      <c r="C8" s="73"/>
      <c r="D8" s="111"/>
      <c r="E8" s="111"/>
      <c r="F8" s="111"/>
      <c r="G8" s="111"/>
      <c r="H8" s="111"/>
      <c r="I8" s="111"/>
      <c r="J8" s="73"/>
    </row>
    <row r="9" spans="1:10" s="74" customFormat="1" ht="36" customHeight="1">
      <c r="A9" s="73"/>
      <c r="B9" s="1032" t="s">
        <v>207</v>
      </c>
      <c r="C9" s="1032"/>
      <c r="D9" s="1032"/>
      <c r="E9" s="1032"/>
      <c r="F9" s="1032"/>
      <c r="G9" s="1032"/>
      <c r="H9" s="1032"/>
      <c r="I9" s="1032"/>
      <c r="J9" s="73"/>
    </row>
    <row r="10" spans="1:10" s="74" customFormat="1" ht="25.15" customHeight="1">
      <c r="A10" s="73"/>
      <c r="B10" s="1029" t="s">
        <v>208</v>
      </c>
      <c r="C10" s="1030"/>
      <c r="D10" s="1030"/>
      <c r="E10" s="1030"/>
      <c r="F10" s="1030"/>
      <c r="G10" s="1030"/>
      <c r="H10" s="1030"/>
      <c r="I10" s="1031"/>
      <c r="J10" s="73"/>
    </row>
    <row r="11" spans="1:10" s="74" customFormat="1" ht="56.45" customHeight="1">
      <c r="A11" s="73"/>
      <c r="B11" s="1033" t="s">
        <v>209</v>
      </c>
      <c r="C11" s="1026" t="s">
        <v>210</v>
      </c>
      <c r="D11" s="1027"/>
      <c r="E11" s="1027"/>
      <c r="F11" s="1027"/>
      <c r="G11" s="1027"/>
      <c r="H11" s="1027"/>
      <c r="I11" s="1028"/>
      <c r="J11" s="73"/>
    </row>
    <row r="12" spans="1:10" s="74" customFormat="1" ht="54.6" customHeight="1">
      <c r="A12" s="73"/>
      <c r="B12" s="1033"/>
      <c r="C12" s="1034" t="s">
        <v>211</v>
      </c>
      <c r="D12" s="109" t="s">
        <v>212</v>
      </c>
      <c r="E12" s="1026" t="s">
        <v>213</v>
      </c>
      <c r="F12" s="1027"/>
      <c r="G12" s="1027"/>
      <c r="H12" s="1027"/>
      <c r="I12" s="1028"/>
      <c r="J12" s="113"/>
    </row>
    <row r="13" spans="1:10" s="74" customFormat="1" ht="32.450000000000003" customHeight="1">
      <c r="A13" s="73"/>
      <c r="B13" s="1033"/>
      <c r="C13" s="1035"/>
      <c r="D13" s="109" t="s">
        <v>214</v>
      </c>
      <c r="E13" s="1026" t="s">
        <v>215</v>
      </c>
      <c r="F13" s="1027"/>
      <c r="G13" s="1027"/>
      <c r="H13" s="1027"/>
      <c r="I13" s="1028"/>
      <c r="J13" s="113"/>
    </row>
    <row r="14" spans="1:10" s="74" customFormat="1" ht="25.15" customHeight="1">
      <c r="A14" s="73"/>
      <c r="B14" s="109" t="s">
        <v>216</v>
      </c>
      <c r="C14" s="1029" t="s">
        <v>217</v>
      </c>
      <c r="D14" s="1030"/>
      <c r="E14" s="1030"/>
      <c r="F14" s="1030"/>
      <c r="G14" s="1030"/>
      <c r="H14" s="1030"/>
      <c r="I14" s="1031"/>
      <c r="J14" s="73"/>
    </row>
    <row r="15" spans="1:10" s="74" customFormat="1" ht="25.15" customHeight="1">
      <c r="A15" s="73"/>
      <c r="B15" s="73"/>
      <c r="C15" s="73"/>
      <c r="D15" s="73"/>
      <c r="E15" s="73"/>
      <c r="F15" s="73"/>
      <c r="G15" s="73"/>
      <c r="H15" s="73"/>
      <c r="I15" s="73"/>
      <c r="J15" s="73"/>
    </row>
    <row r="16" spans="1:10" ht="15.75" customHeight="1">
      <c r="A16" s="18"/>
      <c r="B16" s="18"/>
      <c r="C16" s="18"/>
      <c r="D16" s="18"/>
      <c r="E16" s="18"/>
      <c r="F16" s="18"/>
      <c r="G16" s="18"/>
      <c r="H16" s="18"/>
      <c r="I16" s="18"/>
      <c r="J16" s="18"/>
    </row>
    <row r="17" spans="1:10" ht="40.15" customHeight="1">
      <c r="A17" s="59" t="s">
        <v>218</v>
      </c>
      <c r="B17" s="60"/>
      <c r="C17" s="60"/>
      <c r="D17" s="60"/>
      <c r="E17" s="60"/>
      <c r="F17" s="60"/>
      <c r="G17" s="60"/>
      <c r="H17" s="60"/>
      <c r="I17" s="60"/>
      <c r="J17" s="114"/>
    </row>
    <row r="18" spans="1:10" ht="19.899999999999999" customHeight="1">
      <c r="A18" s="61"/>
      <c r="B18" s="62"/>
      <c r="C18" s="62"/>
      <c r="D18" s="62"/>
      <c r="E18" s="62"/>
      <c r="F18" s="62"/>
      <c r="G18" s="62"/>
      <c r="H18" s="62"/>
      <c r="I18" s="62"/>
    </row>
    <row r="19" spans="1:10" ht="40.15" customHeight="1">
      <c r="A19" s="65" t="s">
        <v>219</v>
      </c>
      <c r="B19" s="62"/>
      <c r="C19" s="66"/>
      <c r="D19" s="66"/>
      <c r="E19" s="62"/>
      <c r="F19" s="62"/>
      <c r="G19" s="62"/>
      <c r="H19" s="62"/>
      <c r="I19" s="62"/>
    </row>
    <row r="20" spans="1:10" ht="48">
      <c r="A20" s="1039" t="s">
        <v>220</v>
      </c>
      <c r="B20" s="1040"/>
      <c r="C20" s="67" t="s">
        <v>221</v>
      </c>
      <c r="D20" s="68" t="s">
        <v>222</v>
      </c>
      <c r="E20" s="68" t="s">
        <v>223</v>
      </c>
      <c r="F20" s="68" t="s">
        <v>224</v>
      </c>
      <c r="G20" s="69"/>
      <c r="H20" s="69"/>
      <c r="I20" s="69"/>
    </row>
    <row r="21" spans="1:10" ht="96">
      <c r="A21" s="1041" t="s">
        <v>225</v>
      </c>
      <c r="B21" s="1040"/>
      <c r="C21" s="70" t="s">
        <v>226</v>
      </c>
      <c r="D21" s="70" t="s">
        <v>227</v>
      </c>
      <c r="E21" s="70" t="s">
        <v>228</v>
      </c>
      <c r="F21" s="70" t="s">
        <v>229</v>
      </c>
      <c r="G21" s="69"/>
      <c r="H21" s="69"/>
      <c r="I21" s="69"/>
    </row>
    <row r="22" spans="1:10" ht="85.5">
      <c r="A22" s="1041" t="s">
        <v>230</v>
      </c>
      <c r="B22" s="1040"/>
      <c r="C22" s="70" t="s">
        <v>231</v>
      </c>
      <c r="D22" s="70" t="s">
        <v>232</v>
      </c>
      <c r="E22" s="70" t="s">
        <v>233</v>
      </c>
      <c r="F22" s="71" t="s">
        <v>234</v>
      </c>
      <c r="G22" s="62"/>
      <c r="H22" s="62"/>
      <c r="I22" s="62"/>
    </row>
    <row r="23" spans="1:10" ht="85.5">
      <c r="A23" s="1041" t="s">
        <v>235</v>
      </c>
      <c r="B23" s="1040"/>
      <c r="C23" s="70" t="s">
        <v>236</v>
      </c>
      <c r="D23" s="70" t="s">
        <v>237</v>
      </c>
      <c r="E23" s="70" t="s">
        <v>238</v>
      </c>
      <c r="F23" s="71" t="s">
        <v>239</v>
      </c>
      <c r="G23" s="62"/>
      <c r="H23" s="62"/>
      <c r="I23" s="62"/>
    </row>
    <row r="24" spans="1:10">
      <c r="A24" s="62"/>
      <c r="B24" s="62"/>
      <c r="C24" s="62"/>
      <c r="D24" s="62"/>
      <c r="E24" s="62"/>
      <c r="F24" s="62"/>
      <c r="G24" s="62"/>
      <c r="H24" s="62"/>
      <c r="I24" s="62"/>
    </row>
    <row r="25" spans="1:10" ht="24">
      <c r="A25" s="1042" t="s">
        <v>240</v>
      </c>
      <c r="B25" s="1042"/>
      <c r="C25" s="1042"/>
      <c r="D25" s="1042"/>
      <c r="E25" s="1042"/>
      <c r="F25" s="1042"/>
      <c r="G25" s="1042"/>
      <c r="H25" s="1042"/>
      <c r="I25" s="1042"/>
    </row>
    <row r="26" spans="1:10" ht="24">
      <c r="A26" s="64" t="s">
        <v>241</v>
      </c>
      <c r="B26" s="64"/>
      <c r="C26" s="64"/>
      <c r="D26" s="64"/>
      <c r="E26" s="64"/>
      <c r="F26" s="64"/>
      <c r="G26" s="64"/>
      <c r="H26" s="64"/>
      <c r="I26" s="64"/>
    </row>
    <row r="27" spans="1:10" ht="24">
      <c r="A27" s="1036" t="s">
        <v>242</v>
      </c>
      <c r="B27" s="1037"/>
      <c r="C27" s="1037"/>
      <c r="D27" s="1037"/>
      <c r="E27" s="1037"/>
      <c r="F27" s="1037"/>
      <c r="G27" s="1037"/>
      <c r="H27" s="1037"/>
      <c r="I27" s="1038"/>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A27:I27"/>
    <mergeCell ref="A20:B20"/>
    <mergeCell ref="A21:B21"/>
    <mergeCell ref="A22:B22"/>
    <mergeCell ref="A23:B23"/>
    <mergeCell ref="A25:I25"/>
    <mergeCell ref="C11:I11"/>
    <mergeCell ref="C14:I14"/>
    <mergeCell ref="B3:I3"/>
    <mergeCell ref="B9:I9"/>
    <mergeCell ref="B11:B13"/>
    <mergeCell ref="B4:I4"/>
    <mergeCell ref="C5:I5"/>
    <mergeCell ref="C6:I6"/>
    <mergeCell ref="C7:I7"/>
    <mergeCell ref="B10:I10"/>
    <mergeCell ref="C12:C13"/>
    <mergeCell ref="E12:I12"/>
    <mergeCell ref="E13:I13"/>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topLeftCell="AZ8" zoomScale="70" zoomScaleNormal="70" zoomScaleSheetLayoutView="85" workbookViewId="0">
      <selection activeCell="BF15" sqref="BF15"/>
    </sheetView>
  </sheetViews>
  <sheetFormatPr defaultColWidth="9" defaultRowHeight="13.5"/>
  <cols>
    <col min="1" max="1" width="49.375" style="1" customWidth="1"/>
    <col min="2" max="2" width="9.625" style="1" customWidth="1"/>
    <col min="3" max="15" width="10.625" style="1" customWidth="1"/>
    <col min="16" max="16" width="9" style="1" customWidth="1"/>
    <col min="17" max="17" width="36.375" style="1" bestFit="1" customWidth="1"/>
    <col min="18" max="18" width="17.375" style="1" customWidth="1"/>
    <col min="19" max="19" width="9" style="1" customWidth="1"/>
    <col min="20" max="23" width="23.375" style="1" customWidth="1"/>
    <col min="24" max="24" width="17" style="1" customWidth="1"/>
    <col min="25" max="25" width="8.875" style="1" customWidth="1"/>
    <col min="26" max="26" width="13.375" style="1" customWidth="1"/>
    <col min="27" max="27" width="10.75" style="1" customWidth="1"/>
    <col min="28" max="28" width="18.125" style="1" customWidth="1"/>
    <col min="29" max="29" width="16.125" customWidth="1"/>
    <col min="30" max="30" width="12.125" style="1" customWidth="1"/>
    <col min="31" max="32" width="9" style="1"/>
    <col min="33" max="33" width="68.625" style="2" customWidth="1"/>
    <col min="34" max="34" width="12.375" style="1" customWidth="1"/>
    <col min="35" max="35" width="9" style="1"/>
    <col min="36" max="36" width="19.375" customWidth="1"/>
    <col min="37" max="38" width="9" hidden="1" customWidth="1"/>
    <col min="39" max="39" width="10.375" style="7" hidden="1" customWidth="1"/>
    <col min="40" max="40" width="10.375" style="7" customWidth="1"/>
    <col min="41" max="41" width="45.125" style="1" customWidth="1"/>
    <col min="42" max="43" width="9" style="1"/>
    <col min="44" max="44" width="53.625" style="1" customWidth="1"/>
    <col min="45" max="45" width="46.125" style="1" customWidth="1"/>
    <col min="46" max="46" width="55.625" style="1" customWidth="1"/>
    <col min="47" max="47" width="63.375" style="1" customWidth="1"/>
    <col min="48" max="48" width="97.375" style="1" customWidth="1"/>
    <col min="49" max="49" width="18" style="1" customWidth="1"/>
    <col min="50" max="50" width="51.375" style="1" customWidth="1"/>
    <col min="51" max="51" width="48.375" style="1" customWidth="1"/>
    <col min="52" max="52" width="77.625" style="2" customWidth="1"/>
    <col min="53" max="53" width="55.125" style="1" customWidth="1"/>
    <col min="54" max="54" width="42.875" style="1" customWidth="1"/>
    <col min="55" max="55" width="52.625" style="1" customWidth="1"/>
    <col min="56" max="56" width="25.25" style="1" customWidth="1"/>
    <col min="57" max="57" width="9" style="1"/>
    <col min="58" max="58" width="88.375" style="1" customWidth="1"/>
    <col min="59" max="59" width="9" style="1"/>
    <col min="60" max="60" width="13.125" style="1" bestFit="1" customWidth="1"/>
    <col min="61" max="16384" width="9" style="1"/>
  </cols>
  <sheetData>
    <row r="1" spans="1:60" ht="14.25" thickBot="1">
      <c r="A1" s="2" t="s">
        <v>243</v>
      </c>
      <c r="B1" s="2"/>
      <c r="C1" s="2"/>
      <c r="D1" s="2"/>
      <c r="E1" s="2"/>
      <c r="F1" s="2"/>
      <c r="G1" s="2"/>
      <c r="H1" s="2"/>
      <c r="I1" s="2"/>
      <c r="J1" s="2"/>
      <c r="K1" s="2"/>
      <c r="L1" s="2"/>
      <c r="M1" s="2"/>
      <c r="N1" s="2"/>
      <c r="O1" s="2"/>
      <c r="Q1" s="1" t="s">
        <v>244</v>
      </c>
      <c r="T1" s="2" t="s">
        <v>245</v>
      </c>
      <c r="V1" s="2" t="s">
        <v>246</v>
      </c>
      <c r="Y1" s="412" t="s">
        <v>247</v>
      </c>
      <c r="Z1" s="413"/>
      <c r="AA1" s="413"/>
      <c r="AB1" s="413"/>
      <c r="AC1" s="413"/>
      <c r="AD1" s="413"/>
      <c r="AE1" s="412"/>
      <c r="AF1" s="414"/>
      <c r="AG1" s="414"/>
      <c r="AH1" s="414"/>
      <c r="AJ1" s="2" t="s">
        <v>248</v>
      </c>
      <c r="AK1" s="2" t="s">
        <v>249</v>
      </c>
      <c r="AL1" s="2"/>
      <c r="AM1" s="2"/>
      <c r="AN1" s="2"/>
      <c r="AO1" s="2" t="s">
        <v>250</v>
      </c>
      <c r="AP1" s="2"/>
      <c r="AQ1" s="2"/>
      <c r="AR1" s="2" t="s">
        <v>2355</v>
      </c>
      <c r="AS1" s="2"/>
      <c r="AT1" s="2"/>
      <c r="AU1" s="2"/>
      <c r="AV1" s="2"/>
      <c r="AX1" s="2" t="s">
        <v>251</v>
      </c>
      <c r="AY1" s="2"/>
      <c r="BA1" s="2"/>
      <c r="BB1" s="2"/>
      <c r="BC1" s="2"/>
      <c r="BD1" s="2"/>
      <c r="BF1" s="2" t="s">
        <v>252</v>
      </c>
      <c r="BH1" s="2" t="s">
        <v>2188</v>
      </c>
    </row>
    <row r="2" spans="1:60" ht="14.25" thickBot="1">
      <c r="A2" s="1050" t="s">
        <v>253</v>
      </c>
      <c r="B2" s="1045" t="s">
        <v>254</v>
      </c>
      <c r="C2" s="1048" t="s">
        <v>255</v>
      </c>
      <c r="D2" s="1048"/>
      <c r="E2" s="1048"/>
      <c r="F2" s="1049"/>
      <c r="G2" s="1047" t="s">
        <v>256</v>
      </c>
      <c r="H2" s="1048"/>
      <c r="I2" s="1048"/>
      <c r="J2" s="1048"/>
      <c r="K2" s="1048"/>
      <c r="L2" s="1048"/>
      <c r="M2" s="1049"/>
      <c r="N2" s="1047" t="s">
        <v>197</v>
      </c>
      <c r="O2" s="1053" t="s">
        <v>257</v>
      </c>
      <c r="Q2" s="1055" t="s">
        <v>258</v>
      </c>
      <c r="R2" s="1056"/>
      <c r="T2" s="3" t="s">
        <v>37</v>
      </c>
      <c r="V2" s="3" t="s">
        <v>37</v>
      </c>
      <c r="W2" s="3" t="s">
        <v>259</v>
      </c>
      <c r="Y2" s="415" t="s">
        <v>260</v>
      </c>
      <c r="Z2" s="416" t="s">
        <v>261</v>
      </c>
      <c r="AA2" s="417" t="s">
        <v>37</v>
      </c>
      <c r="AB2" s="418" t="s">
        <v>262</v>
      </c>
      <c r="AC2" s="419" t="s">
        <v>263</v>
      </c>
      <c r="AD2" s="420">
        <v>0.7</v>
      </c>
      <c r="AE2" s="421">
        <v>0.55000000000000004</v>
      </c>
      <c r="AF2" s="422">
        <v>0.45</v>
      </c>
      <c r="AG2" s="415" t="s">
        <v>264</v>
      </c>
      <c r="AH2" s="423" t="s">
        <v>265</v>
      </c>
      <c r="AJ2" s="11" t="s">
        <v>266</v>
      </c>
      <c r="AK2" s="34" t="s">
        <v>267</v>
      </c>
      <c r="AL2" s="1"/>
      <c r="AM2" s="1"/>
      <c r="AN2" s="1"/>
      <c r="AO2" s="281" t="s">
        <v>253</v>
      </c>
      <c r="AP2" s="280" t="s">
        <v>268</v>
      </c>
      <c r="AQ2" s="103"/>
      <c r="AR2" s="1057" t="s">
        <v>253</v>
      </c>
      <c r="AS2" s="1060"/>
      <c r="AT2" s="1063" t="s">
        <v>2356</v>
      </c>
      <c r="AU2" s="492"/>
      <c r="AV2" s="492"/>
      <c r="AX2" s="364" t="s">
        <v>253</v>
      </c>
      <c r="AY2" s="365" t="s">
        <v>269</v>
      </c>
      <c r="AZ2" s="365"/>
      <c r="BA2" s="365"/>
      <c r="BB2" s="498"/>
      <c r="BC2" s="498"/>
      <c r="BD2" s="499"/>
      <c r="BF2" s="263" t="s">
        <v>188</v>
      </c>
      <c r="BH2" s="11" t="s">
        <v>266</v>
      </c>
    </row>
    <row r="3" spans="1:60" ht="68.25" thickBot="1">
      <c r="A3" s="1051"/>
      <c r="B3" s="1046"/>
      <c r="C3" s="298" t="s">
        <v>182</v>
      </c>
      <c r="D3" s="299" t="s">
        <v>270</v>
      </c>
      <c r="E3" s="299" t="s">
        <v>196</v>
      </c>
      <c r="F3" s="299" t="s">
        <v>271</v>
      </c>
      <c r="G3" s="298" t="s">
        <v>272</v>
      </c>
      <c r="H3" s="298" t="s">
        <v>273</v>
      </c>
      <c r="I3" s="299" t="s">
        <v>274</v>
      </c>
      <c r="J3" s="299" t="s">
        <v>275</v>
      </c>
      <c r="K3" s="299" t="s">
        <v>276</v>
      </c>
      <c r="L3" s="299" t="s">
        <v>277</v>
      </c>
      <c r="M3" s="356" t="s">
        <v>278</v>
      </c>
      <c r="N3" s="1052"/>
      <c r="O3" s="1054"/>
      <c r="P3" s="31"/>
      <c r="Q3" s="354" t="s">
        <v>279</v>
      </c>
      <c r="R3" s="355" t="s">
        <v>280</v>
      </c>
      <c r="S3" s="31"/>
      <c r="T3" s="6" t="s">
        <v>2208</v>
      </c>
      <c r="V3" s="6" t="s">
        <v>2208</v>
      </c>
      <c r="W3" s="6" t="s">
        <v>282</v>
      </c>
      <c r="Y3" s="424" t="s">
        <v>283</v>
      </c>
      <c r="Z3" s="425">
        <v>0.2</v>
      </c>
      <c r="AA3" s="426" t="s">
        <v>42</v>
      </c>
      <c r="AB3" s="427" t="s">
        <v>284</v>
      </c>
      <c r="AC3" s="428" t="str">
        <f>AA3&amp;AB3</f>
        <v>東京都千代田区</v>
      </c>
      <c r="AD3" s="429">
        <v>11.4</v>
      </c>
      <c r="AE3" s="430">
        <v>11.1</v>
      </c>
      <c r="AF3" s="431">
        <v>10.9</v>
      </c>
      <c r="AG3" s="424" t="s">
        <v>41</v>
      </c>
      <c r="AH3" s="425">
        <v>0.7</v>
      </c>
      <c r="AI3" s="31"/>
      <c r="AJ3" s="9" t="s">
        <v>285</v>
      </c>
      <c r="AK3" s="35" t="s">
        <v>285</v>
      </c>
      <c r="AL3" s="1"/>
      <c r="AM3" s="1"/>
      <c r="AN3" s="1"/>
      <c r="AO3" s="267" t="s">
        <v>2273</v>
      </c>
      <c r="AP3" s="268" t="s">
        <v>2344</v>
      </c>
      <c r="AQ3" s="374"/>
      <c r="AR3" s="1058"/>
      <c r="AS3" s="1061"/>
      <c r="AT3" s="1064"/>
      <c r="AU3" s="493"/>
      <c r="AV3" s="494"/>
      <c r="AX3" s="80" t="s">
        <v>2273</v>
      </c>
      <c r="AY3" s="80" t="s">
        <v>2362</v>
      </c>
      <c r="AZ3" s="359" t="s">
        <v>2387</v>
      </c>
      <c r="BA3" s="518" t="s">
        <v>2462</v>
      </c>
      <c r="BB3" s="84" t="s">
        <v>2388</v>
      </c>
      <c r="BC3" s="361"/>
      <c r="BF3" s="264"/>
      <c r="BH3" s="9" t="s">
        <v>285</v>
      </c>
    </row>
    <row r="4" spans="1:60" ht="68.25" thickBot="1">
      <c r="A4" s="80" t="s">
        <v>2273</v>
      </c>
      <c r="B4" s="278" t="s">
        <v>2274</v>
      </c>
      <c r="C4" s="400">
        <v>0.41700000000000004</v>
      </c>
      <c r="D4" s="400">
        <v>0.40200000000000002</v>
      </c>
      <c r="E4" s="400">
        <v>0.34700000000000003</v>
      </c>
      <c r="F4" s="400">
        <v>0.27300000000000002</v>
      </c>
      <c r="G4" s="400">
        <v>0.44600000000000001</v>
      </c>
      <c r="H4" s="400">
        <v>0.45600000000000002</v>
      </c>
      <c r="I4" s="400">
        <v>0.43099999999999999</v>
      </c>
      <c r="J4" s="400">
        <v>0.441</v>
      </c>
      <c r="K4" s="400">
        <v>0.376</v>
      </c>
      <c r="L4" s="400">
        <v>0.30199999999999999</v>
      </c>
      <c r="M4" s="408"/>
      <c r="N4" s="357" t="s">
        <v>279</v>
      </c>
      <c r="O4" s="90" t="s">
        <v>286</v>
      </c>
      <c r="P4" s="33"/>
      <c r="Q4" s="352" t="s">
        <v>272</v>
      </c>
      <c r="R4" s="347" t="s">
        <v>197</v>
      </c>
      <c r="S4" s="33"/>
      <c r="T4" s="4" t="s">
        <v>287</v>
      </c>
      <c r="V4" s="6" t="s">
        <v>2208</v>
      </c>
      <c r="W4" s="4" t="s">
        <v>288</v>
      </c>
      <c r="Y4" s="432" t="s">
        <v>283</v>
      </c>
      <c r="Z4" s="433">
        <v>0.2</v>
      </c>
      <c r="AA4" s="434" t="s">
        <v>42</v>
      </c>
      <c r="AB4" s="435" t="s">
        <v>289</v>
      </c>
      <c r="AC4" s="436" t="str">
        <f t="shared" ref="AC4:AC67" si="0">AA4&amp;AB4</f>
        <v>東京都中央区</v>
      </c>
      <c r="AD4" s="437">
        <v>11.4</v>
      </c>
      <c r="AE4" s="438">
        <v>11.1</v>
      </c>
      <c r="AF4" s="439">
        <v>10.9</v>
      </c>
      <c r="AG4" s="432" t="s">
        <v>290</v>
      </c>
      <c r="AH4" s="433">
        <v>0.7</v>
      </c>
      <c r="AI4" s="33"/>
      <c r="AJ4" s="8"/>
      <c r="AK4" s="36" t="s">
        <v>267</v>
      </c>
      <c r="AL4" s="1"/>
      <c r="AM4" s="1"/>
      <c r="AN4" s="1"/>
      <c r="AO4" s="272" t="s">
        <v>2275</v>
      </c>
      <c r="AP4" s="273" t="s">
        <v>2344</v>
      </c>
      <c r="AQ4" s="374"/>
      <c r="AR4" s="1059"/>
      <c r="AS4" s="1062"/>
      <c r="AT4" s="1065"/>
      <c r="AU4" s="493"/>
      <c r="AV4" s="494"/>
      <c r="AX4" s="10" t="s">
        <v>2275</v>
      </c>
      <c r="AY4" s="10" t="s">
        <v>2363</v>
      </c>
      <c r="AZ4" s="359" t="s">
        <v>2387</v>
      </c>
      <c r="BA4" s="518" t="s">
        <v>2462</v>
      </c>
      <c r="BB4" s="84" t="s">
        <v>2388</v>
      </c>
      <c r="BC4" s="360"/>
      <c r="BF4" s="2"/>
      <c r="BH4" s="377" t="s">
        <v>267</v>
      </c>
    </row>
    <row r="5" spans="1:60" ht="68.25" thickBot="1">
      <c r="A5" s="10" t="s">
        <v>2275</v>
      </c>
      <c r="B5" s="279" t="s">
        <v>2276</v>
      </c>
      <c r="C5" s="400">
        <v>0.34300000000000003</v>
      </c>
      <c r="D5" s="400">
        <v>0.32800000000000001</v>
      </c>
      <c r="E5" s="400">
        <v>0.27300000000000002</v>
      </c>
      <c r="F5" s="400">
        <v>0.219</v>
      </c>
      <c r="G5" s="400">
        <v>0.372</v>
      </c>
      <c r="H5" s="400">
        <v>0.38200000000000001</v>
      </c>
      <c r="I5" s="400">
        <v>0.35699999999999998</v>
      </c>
      <c r="J5" s="400">
        <v>0.36699999999999999</v>
      </c>
      <c r="K5" s="400">
        <v>0.30199999999999999</v>
      </c>
      <c r="L5" s="400">
        <v>0.248</v>
      </c>
      <c r="M5" s="409"/>
      <c r="N5" s="317" t="s">
        <v>279</v>
      </c>
      <c r="O5" s="88" t="s">
        <v>286</v>
      </c>
      <c r="P5" s="33"/>
      <c r="Q5" s="4" t="s">
        <v>273</v>
      </c>
      <c r="R5" s="348"/>
      <c r="S5" s="33"/>
      <c r="T5" s="4" t="s">
        <v>291</v>
      </c>
      <c r="V5" s="6" t="s">
        <v>2208</v>
      </c>
      <c r="W5" s="4" t="s">
        <v>292</v>
      </c>
      <c r="Y5" s="432" t="s">
        <v>283</v>
      </c>
      <c r="Z5" s="433">
        <v>0.2</v>
      </c>
      <c r="AA5" s="434" t="s">
        <v>42</v>
      </c>
      <c r="AB5" s="435" t="s">
        <v>293</v>
      </c>
      <c r="AC5" s="436" t="str">
        <f t="shared" si="0"/>
        <v>東京都港区</v>
      </c>
      <c r="AD5" s="437">
        <v>11.4</v>
      </c>
      <c r="AE5" s="438">
        <v>11.1</v>
      </c>
      <c r="AF5" s="439">
        <v>10.9</v>
      </c>
      <c r="AG5" s="440" t="s">
        <v>294</v>
      </c>
      <c r="AH5" s="433">
        <v>0.7</v>
      </c>
      <c r="AI5" s="33"/>
      <c r="AJ5" s="1"/>
      <c r="AK5" s="8"/>
      <c r="AL5" s="1"/>
      <c r="AM5" s="1"/>
      <c r="AN5" s="1"/>
      <c r="AO5" s="272" t="s">
        <v>2277</v>
      </c>
      <c r="AP5" s="273" t="s">
        <v>2344</v>
      </c>
      <c r="AQ5" s="374"/>
      <c r="AR5" s="265" t="s">
        <v>2273</v>
      </c>
      <c r="AS5" s="265" t="s">
        <v>2415</v>
      </c>
      <c r="AT5" s="266" t="s">
        <v>2357</v>
      </c>
      <c r="AU5" s="493"/>
      <c r="AV5" s="494"/>
      <c r="AX5" s="10" t="s">
        <v>2277</v>
      </c>
      <c r="AY5" s="10" t="s">
        <v>2364</v>
      </c>
      <c r="AZ5" s="359" t="s">
        <v>2387</v>
      </c>
      <c r="BA5" s="518" t="s">
        <v>2462</v>
      </c>
      <c r="BB5" s="84" t="s">
        <v>2388</v>
      </c>
      <c r="BC5" s="360"/>
      <c r="BF5" s="263" t="s">
        <v>188</v>
      </c>
      <c r="BH5" s="8"/>
    </row>
    <row r="6" spans="1:60" ht="68.25" thickBot="1">
      <c r="A6" s="10" t="s">
        <v>2277</v>
      </c>
      <c r="B6" s="279" t="s">
        <v>2278</v>
      </c>
      <c r="C6" s="400">
        <v>0.41700000000000004</v>
      </c>
      <c r="D6" s="400">
        <v>0.40200000000000002</v>
      </c>
      <c r="E6" s="400">
        <v>0.34700000000000003</v>
      </c>
      <c r="F6" s="400">
        <v>0.27300000000000002</v>
      </c>
      <c r="G6" s="400">
        <v>0.44600000000000001</v>
      </c>
      <c r="H6" s="400">
        <v>0.45600000000000002</v>
      </c>
      <c r="I6" s="400">
        <v>0.43099999999999999</v>
      </c>
      <c r="J6" s="400">
        <v>0.441</v>
      </c>
      <c r="K6" s="400">
        <v>0.376</v>
      </c>
      <c r="L6" s="400">
        <v>0.30199999999999999</v>
      </c>
      <c r="M6" s="409"/>
      <c r="N6" s="317" t="s">
        <v>279</v>
      </c>
      <c r="O6" s="88" t="s">
        <v>286</v>
      </c>
      <c r="P6" s="31"/>
      <c r="Q6" s="353" t="s">
        <v>274</v>
      </c>
      <c r="R6" s="349"/>
      <c r="S6" s="31"/>
      <c r="T6" s="4" t="s">
        <v>295</v>
      </c>
      <c r="V6" s="6" t="s">
        <v>2208</v>
      </c>
      <c r="W6" s="4" t="s">
        <v>296</v>
      </c>
      <c r="Y6" s="432" t="s">
        <v>283</v>
      </c>
      <c r="Z6" s="433">
        <v>0.2</v>
      </c>
      <c r="AA6" s="434" t="s">
        <v>42</v>
      </c>
      <c r="AB6" s="435" t="s">
        <v>297</v>
      </c>
      <c r="AC6" s="436" t="str">
        <f t="shared" si="0"/>
        <v>東京都新宿区</v>
      </c>
      <c r="AD6" s="437">
        <v>11.4</v>
      </c>
      <c r="AE6" s="438">
        <v>11.1</v>
      </c>
      <c r="AF6" s="439">
        <v>10.9</v>
      </c>
      <c r="AG6" s="432" t="s">
        <v>298</v>
      </c>
      <c r="AH6" s="433">
        <v>0.7</v>
      </c>
      <c r="AI6" s="31"/>
      <c r="AJ6" s="32"/>
      <c r="AK6" s="1"/>
      <c r="AL6" s="1"/>
      <c r="AM6" s="1"/>
      <c r="AN6" s="1"/>
      <c r="AO6" s="272" t="s">
        <v>2279</v>
      </c>
      <c r="AP6" s="273" t="s">
        <v>2344</v>
      </c>
      <c r="AQ6" s="374"/>
      <c r="AR6" s="269" t="s">
        <v>2275</v>
      </c>
      <c r="AS6" s="269" t="s">
        <v>2416</v>
      </c>
      <c r="AT6" s="270" t="s">
        <v>2358</v>
      </c>
      <c r="AU6" s="493"/>
      <c r="AV6" s="494"/>
      <c r="AX6" s="10" t="s">
        <v>2279</v>
      </c>
      <c r="AY6" s="10" t="s">
        <v>2365</v>
      </c>
      <c r="AZ6" s="359" t="s">
        <v>2387</v>
      </c>
      <c r="BA6" s="518" t="s">
        <v>2462</v>
      </c>
      <c r="BB6" s="84" t="s">
        <v>2388</v>
      </c>
      <c r="BC6" s="360"/>
      <c r="BF6" s="271" t="s">
        <v>189</v>
      </c>
    </row>
    <row r="7" spans="1:60" ht="68.25" thickBot="1">
      <c r="A7" s="607" t="s">
        <v>2279</v>
      </c>
      <c r="B7" s="279" t="s">
        <v>2280</v>
      </c>
      <c r="C7" s="400">
        <v>0.38200000000000001</v>
      </c>
      <c r="D7" s="400">
        <v>0.36699999999999999</v>
      </c>
      <c r="E7" s="400">
        <v>0.312</v>
      </c>
      <c r="F7" s="400">
        <v>0.24799999999999997</v>
      </c>
      <c r="G7" s="609">
        <v>0.41099999999999998</v>
      </c>
      <c r="H7" s="400">
        <v>0.42099999999999999</v>
      </c>
      <c r="I7" s="400">
        <v>0.39600000000000002</v>
      </c>
      <c r="J7" s="400">
        <v>0.40600000000000003</v>
      </c>
      <c r="K7" s="400">
        <v>0.34100000000000003</v>
      </c>
      <c r="L7" s="400">
        <v>0.27700000000000002</v>
      </c>
      <c r="M7" s="409"/>
      <c r="N7" s="317" t="s">
        <v>279</v>
      </c>
      <c r="O7" s="88" t="s">
        <v>286</v>
      </c>
      <c r="P7" s="33"/>
      <c r="Q7" s="4" t="s">
        <v>275</v>
      </c>
      <c r="R7" s="348"/>
      <c r="S7" s="33"/>
      <c r="T7" s="4" t="s">
        <v>299</v>
      </c>
      <c r="V7" s="6" t="s">
        <v>2208</v>
      </c>
      <c r="W7" s="4" t="s">
        <v>300</v>
      </c>
      <c r="Y7" s="432" t="s">
        <v>283</v>
      </c>
      <c r="Z7" s="433">
        <v>0.2</v>
      </c>
      <c r="AA7" s="434" t="s">
        <v>42</v>
      </c>
      <c r="AB7" s="435" t="s">
        <v>301</v>
      </c>
      <c r="AC7" s="436" t="str">
        <f t="shared" si="0"/>
        <v>東京都文京区</v>
      </c>
      <c r="AD7" s="437">
        <v>11.4</v>
      </c>
      <c r="AE7" s="438">
        <v>11.1</v>
      </c>
      <c r="AF7" s="439">
        <v>10.9</v>
      </c>
      <c r="AG7" s="432" t="s">
        <v>302</v>
      </c>
      <c r="AH7" s="433">
        <v>0.7</v>
      </c>
      <c r="AI7" s="33"/>
      <c r="AJ7" s="1"/>
      <c r="AK7" s="1"/>
      <c r="AL7" s="1"/>
      <c r="AM7" s="1"/>
      <c r="AN7" s="1"/>
      <c r="AO7" s="272" t="s">
        <v>2281</v>
      </c>
      <c r="AP7" s="273" t="s">
        <v>2344</v>
      </c>
      <c r="AQ7" s="374"/>
      <c r="AR7" s="269" t="s">
        <v>2277</v>
      </c>
      <c r="AS7" s="269" t="s">
        <v>2417</v>
      </c>
      <c r="AT7" s="270" t="s">
        <v>2357</v>
      </c>
      <c r="AU7" s="493"/>
      <c r="AV7" s="494"/>
      <c r="AX7" s="10" t="s">
        <v>2281</v>
      </c>
      <c r="AY7" s="10" t="s">
        <v>2366</v>
      </c>
      <c r="AZ7" s="359" t="s">
        <v>2387</v>
      </c>
      <c r="BA7" s="518" t="s">
        <v>2462</v>
      </c>
      <c r="BB7" s="84" t="s">
        <v>2388</v>
      </c>
      <c r="BC7" s="360"/>
      <c r="BF7" s="271" t="s">
        <v>2189</v>
      </c>
    </row>
    <row r="8" spans="1:60" ht="68.25" thickBot="1">
      <c r="A8" s="597" t="s">
        <v>2281</v>
      </c>
      <c r="B8" s="279" t="s">
        <v>2282</v>
      </c>
      <c r="C8" s="400">
        <v>0.223</v>
      </c>
      <c r="D8" s="401"/>
      <c r="E8" s="400">
        <v>0.16200000000000001</v>
      </c>
      <c r="F8" s="400">
        <v>0.13800000000000001</v>
      </c>
      <c r="G8" s="400">
        <v>0.252</v>
      </c>
      <c r="H8" s="400">
        <v>0.26200000000000001</v>
      </c>
      <c r="I8" s="401"/>
      <c r="J8" s="401"/>
      <c r="K8" s="400">
        <v>0.191</v>
      </c>
      <c r="L8" s="400">
        <v>0.16700000000000001</v>
      </c>
      <c r="M8" s="409"/>
      <c r="N8" s="317" t="s">
        <v>279</v>
      </c>
      <c r="O8" s="88" t="s">
        <v>303</v>
      </c>
      <c r="P8" s="33"/>
      <c r="Q8" s="4" t="s">
        <v>276</v>
      </c>
      <c r="R8" s="348"/>
      <c r="S8" s="33"/>
      <c r="T8" s="4" t="s">
        <v>304</v>
      </c>
      <c r="V8" s="6" t="s">
        <v>2208</v>
      </c>
      <c r="W8" s="4" t="s">
        <v>305</v>
      </c>
      <c r="Y8" s="432" t="s">
        <v>283</v>
      </c>
      <c r="Z8" s="433">
        <v>0.2</v>
      </c>
      <c r="AA8" s="434" t="s">
        <v>42</v>
      </c>
      <c r="AB8" s="435" t="s">
        <v>306</v>
      </c>
      <c r="AC8" s="436" t="str">
        <f t="shared" si="0"/>
        <v>東京都台東区</v>
      </c>
      <c r="AD8" s="437">
        <v>11.4</v>
      </c>
      <c r="AE8" s="438">
        <v>11.1</v>
      </c>
      <c r="AF8" s="439">
        <v>10.9</v>
      </c>
      <c r="AG8" s="432" t="s">
        <v>307</v>
      </c>
      <c r="AH8" s="433">
        <v>0.45</v>
      </c>
      <c r="AI8" s="33"/>
      <c r="AJ8" s="1"/>
      <c r="AK8" s="1"/>
      <c r="AL8" s="1"/>
      <c r="AM8" s="1"/>
      <c r="AN8" s="1"/>
      <c r="AO8" s="272" t="s">
        <v>2283</v>
      </c>
      <c r="AP8" s="273" t="s">
        <v>2344</v>
      </c>
      <c r="AQ8" s="374"/>
      <c r="AR8" s="269" t="s">
        <v>2279</v>
      </c>
      <c r="AS8" s="269" t="s">
        <v>2418</v>
      </c>
      <c r="AT8" s="270" t="s">
        <v>2358</v>
      </c>
      <c r="AU8" s="493"/>
      <c r="AV8" s="494"/>
      <c r="AX8" s="10" t="s">
        <v>2283</v>
      </c>
      <c r="AY8" s="10" t="s">
        <v>2367</v>
      </c>
      <c r="AZ8" s="359" t="s">
        <v>2387</v>
      </c>
      <c r="BA8" s="518" t="s">
        <v>2462</v>
      </c>
      <c r="BB8" s="84" t="s">
        <v>2388</v>
      </c>
      <c r="BC8" s="360"/>
      <c r="BF8" s="264"/>
    </row>
    <row r="9" spans="1:60" ht="68.25" thickBot="1">
      <c r="A9" s="10" t="s">
        <v>2283</v>
      </c>
      <c r="B9" s="279" t="s">
        <v>2284</v>
      </c>
      <c r="C9" s="400">
        <v>8.0999999999999989E-2</v>
      </c>
      <c r="D9" s="400">
        <v>7.9999999999999988E-2</v>
      </c>
      <c r="E9" s="400">
        <v>6.699999999999999E-2</v>
      </c>
      <c r="F9" s="400">
        <v>5.4999999999999993E-2</v>
      </c>
      <c r="G9" s="400">
        <v>9.2999999999999999E-2</v>
      </c>
      <c r="H9" s="400">
        <v>9.7000000000000003E-2</v>
      </c>
      <c r="I9" s="400">
        <v>9.1999999999999998E-2</v>
      </c>
      <c r="J9" s="400">
        <v>9.6000000000000002E-2</v>
      </c>
      <c r="K9" s="400">
        <v>7.9000000000000001E-2</v>
      </c>
      <c r="L9" s="400">
        <v>6.7000000000000004E-2</v>
      </c>
      <c r="M9" s="409"/>
      <c r="N9" s="317" t="s">
        <v>279</v>
      </c>
      <c r="O9" s="88" t="s">
        <v>286</v>
      </c>
      <c r="P9" s="33"/>
      <c r="Q9" s="5" t="s">
        <v>277</v>
      </c>
      <c r="R9" s="350"/>
      <c r="S9" s="33"/>
      <c r="T9" s="4" t="s">
        <v>308</v>
      </c>
      <c r="V9" s="6" t="s">
        <v>2208</v>
      </c>
      <c r="W9" s="4" t="s">
        <v>309</v>
      </c>
      <c r="Y9" s="432" t="s">
        <v>283</v>
      </c>
      <c r="Z9" s="433">
        <v>0.2</v>
      </c>
      <c r="AA9" s="434" t="s">
        <v>42</v>
      </c>
      <c r="AB9" s="435" t="s">
        <v>310</v>
      </c>
      <c r="AC9" s="436" t="str">
        <f t="shared" si="0"/>
        <v>東京都墨田区</v>
      </c>
      <c r="AD9" s="437">
        <v>11.4</v>
      </c>
      <c r="AE9" s="438">
        <v>11.1</v>
      </c>
      <c r="AF9" s="439">
        <v>10.9</v>
      </c>
      <c r="AG9" s="432" t="s">
        <v>311</v>
      </c>
      <c r="AH9" s="433">
        <v>0.45</v>
      </c>
      <c r="AI9" s="33"/>
      <c r="AJ9" s="1"/>
      <c r="AK9" s="1"/>
      <c r="AL9" s="1"/>
      <c r="AM9" s="1"/>
      <c r="AN9" s="1"/>
      <c r="AO9" s="272" t="s">
        <v>2285</v>
      </c>
      <c r="AP9" s="273" t="s">
        <v>2344</v>
      </c>
      <c r="AQ9" s="374"/>
      <c r="AR9" s="269" t="s">
        <v>2281</v>
      </c>
      <c r="AS9" s="269" t="s">
        <v>2419</v>
      </c>
      <c r="AT9" s="270" t="s">
        <v>2359</v>
      </c>
      <c r="AU9" s="493"/>
      <c r="AV9" s="493"/>
      <c r="AX9" s="10" t="s">
        <v>2285</v>
      </c>
      <c r="AY9" s="10" t="s">
        <v>2368</v>
      </c>
      <c r="AZ9" s="359" t="s">
        <v>2387</v>
      </c>
      <c r="BA9" s="518" t="s">
        <v>2462</v>
      </c>
      <c r="BB9" s="84" t="s">
        <v>2388</v>
      </c>
      <c r="BC9" s="360"/>
      <c r="BF9" s="2"/>
    </row>
    <row r="10" spans="1:60" ht="68.25" thickBot="1">
      <c r="A10" s="597" t="s">
        <v>2285</v>
      </c>
      <c r="B10" s="279" t="s">
        <v>2286</v>
      </c>
      <c r="C10" s="400">
        <v>0.159</v>
      </c>
      <c r="D10" s="401"/>
      <c r="E10" s="400">
        <v>0.13799999999999998</v>
      </c>
      <c r="F10" s="400">
        <v>0.11499999999999999</v>
      </c>
      <c r="G10" s="400">
        <v>0.186</v>
      </c>
      <c r="H10" s="400">
        <v>0.193</v>
      </c>
      <c r="I10" s="401"/>
      <c r="J10" s="401"/>
      <c r="K10" s="400">
        <v>0.16500000000000001</v>
      </c>
      <c r="L10" s="400">
        <v>0.14199999999999999</v>
      </c>
      <c r="M10" s="409"/>
      <c r="N10" s="317" t="s">
        <v>279</v>
      </c>
      <c r="O10" s="88" t="s">
        <v>286</v>
      </c>
      <c r="P10" s="33"/>
      <c r="Q10" s="2"/>
      <c r="R10" s="2"/>
      <c r="S10" s="33"/>
      <c r="T10" s="4" t="s">
        <v>313</v>
      </c>
      <c r="V10" s="6" t="s">
        <v>2208</v>
      </c>
      <c r="W10" s="4" t="s">
        <v>314</v>
      </c>
      <c r="Y10" s="432" t="s">
        <v>283</v>
      </c>
      <c r="Z10" s="433">
        <v>0.2</v>
      </c>
      <c r="AA10" s="434" t="s">
        <v>42</v>
      </c>
      <c r="AB10" s="435" t="s">
        <v>315</v>
      </c>
      <c r="AC10" s="436" t="str">
        <f t="shared" si="0"/>
        <v>東京都江東区</v>
      </c>
      <c r="AD10" s="437">
        <v>11.4</v>
      </c>
      <c r="AE10" s="438">
        <v>11.1</v>
      </c>
      <c r="AF10" s="439">
        <v>10.9</v>
      </c>
      <c r="AG10" s="432" t="s">
        <v>316</v>
      </c>
      <c r="AH10" s="433">
        <v>0.55000000000000004</v>
      </c>
      <c r="AI10" s="33"/>
      <c r="AJ10" s="1"/>
      <c r="AK10" s="1"/>
      <c r="AL10" s="1"/>
      <c r="AM10" s="1"/>
      <c r="AN10" s="1"/>
      <c r="AO10" s="272" t="s">
        <v>2345</v>
      </c>
      <c r="AP10" s="273" t="s">
        <v>2344</v>
      </c>
      <c r="AQ10" s="374"/>
      <c r="AR10" s="269" t="s">
        <v>2283</v>
      </c>
      <c r="AS10" s="269" t="s">
        <v>2420</v>
      </c>
      <c r="AT10" s="270" t="s">
        <v>2360</v>
      </c>
      <c r="AU10" s="493"/>
      <c r="AV10" s="494"/>
      <c r="AX10" s="10" t="s">
        <v>2287</v>
      </c>
      <c r="AY10" s="10" t="s">
        <v>2369</v>
      </c>
      <c r="AZ10" s="359" t="s">
        <v>2387</v>
      </c>
      <c r="BA10" s="518" t="s">
        <v>2462</v>
      </c>
      <c r="BB10" s="84" t="s">
        <v>2388</v>
      </c>
      <c r="BC10" s="360"/>
      <c r="BF10" s="351" t="s">
        <v>312</v>
      </c>
    </row>
    <row r="11" spans="1:60" ht="68.25" thickBot="1">
      <c r="A11" s="597" t="s">
        <v>2287</v>
      </c>
      <c r="B11" s="279" t="s">
        <v>2288</v>
      </c>
      <c r="C11" s="400">
        <v>0.159</v>
      </c>
      <c r="D11" s="401"/>
      <c r="E11" s="400">
        <v>0.13799999999999998</v>
      </c>
      <c r="F11" s="400">
        <v>0.11499999999999999</v>
      </c>
      <c r="G11" s="400">
        <v>0.186</v>
      </c>
      <c r="H11" s="400">
        <v>0.193</v>
      </c>
      <c r="I11" s="401"/>
      <c r="J11" s="401"/>
      <c r="K11" s="400">
        <v>0.16500000000000001</v>
      </c>
      <c r="L11" s="400">
        <v>0.14199999999999999</v>
      </c>
      <c r="M11" s="409"/>
      <c r="N11" s="317" t="s">
        <v>279</v>
      </c>
      <c r="O11" s="88" t="s">
        <v>286</v>
      </c>
      <c r="P11" s="33"/>
      <c r="Q11" s="2"/>
      <c r="R11" s="2"/>
      <c r="S11" s="33"/>
      <c r="T11" s="4" t="s">
        <v>317</v>
      </c>
      <c r="V11" s="6" t="s">
        <v>2208</v>
      </c>
      <c r="W11" s="4" t="s">
        <v>318</v>
      </c>
      <c r="Y11" s="432" t="s">
        <v>283</v>
      </c>
      <c r="Z11" s="433">
        <v>0.2</v>
      </c>
      <c r="AA11" s="434" t="s">
        <v>42</v>
      </c>
      <c r="AB11" s="435" t="s">
        <v>319</v>
      </c>
      <c r="AC11" s="436" t="str">
        <f t="shared" si="0"/>
        <v>東京都品川区</v>
      </c>
      <c r="AD11" s="437">
        <v>11.4</v>
      </c>
      <c r="AE11" s="438">
        <v>11.1</v>
      </c>
      <c r="AF11" s="439">
        <v>10.9</v>
      </c>
      <c r="AG11" s="432" t="s">
        <v>320</v>
      </c>
      <c r="AH11" s="433">
        <v>0.55000000000000004</v>
      </c>
      <c r="AI11" s="33"/>
      <c r="AJ11" s="1"/>
      <c r="AK11" s="1"/>
      <c r="AL11" s="1"/>
      <c r="AM11" s="1"/>
      <c r="AN11" s="1"/>
      <c r="AO11" s="272" t="s">
        <v>2289</v>
      </c>
      <c r="AP11" s="273" t="s">
        <v>2344</v>
      </c>
      <c r="AQ11" s="374"/>
      <c r="AR11" s="269" t="s">
        <v>2285</v>
      </c>
      <c r="AS11" s="269" t="s">
        <v>2421</v>
      </c>
      <c r="AT11" s="270" t="s">
        <v>2359</v>
      </c>
      <c r="AU11" s="493"/>
      <c r="AV11" s="494"/>
      <c r="AX11" s="10" t="s">
        <v>2289</v>
      </c>
      <c r="AY11" s="10" t="s">
        <v>2370</v>
      </c>
      <c r="AZ11" s="359" t="s">
        <v>2387</v>
      </c>
      <c r="BA11" s="518" t="s">
        <v>2462</v>
      </c>
      <c r="BB11" s="84" t="s">
        <v>2388</v>
      </c>
      <c r="BC11" s="360"/>
      <c r="BF11" s="263" t="s">
        <v>188</v>
      </c>
    </row>
    <row r="12" spans="1:60" ht="68.25" thickBot="1">
      <c r="A12" s="10" t="s">
        <v>2289</v>
      </c>
      <c r="B12" s="279" t="s">
        <v>2290</v>
      </c>
      <c r="C12" s="400">
        <v>0.13700000000000001</v>
      </c>
      <c r="D12" s="400">
        <v>0.13500000000000001</v>
      </c>
      <c r="E12" s="400">
        <v>0.11599999999999999</v>
      </c>
      <c r="F12" s="400">
        <v>9.9000000000000005E-2</v>
      </c>
      <c r="G12" s="400">
        <v>0.16400000000000001</v>
      </c>
      <c r="H12" s="400">
        <v>0.17100000000000001</v>
      </c>
      <c r="I12" s="400">
        <v>0.16200000000000001</v>
      </c>
      <c r="J12" s="400">
        <v>0.16900000000000001</v>
      </c>
      <c r="K12" s="400">
        <v>0.14299999999999999</v>
      </c>
      <c r="L12" s="400">
        <v>0.126</v>
      </c>
      <c r="M12" s="409"/>
      <c r="N12" s="317" t="s">
        <v>279</v>
      </c>
      <c r="O12" s="88" t="s">
        <v>303</v>
      </c>
      <c r="P12" s="33"/>
      <c r="Q12" s="33"/>
      <c r="R12" s="33"/>
      <c r="S12" s="33"/>
      <c r="T12" s="4" t="s">
        <v>321</v>
      </c>
      <c r="V12" s="6" t="s">
        <v>2208</v>
      </c>
      <c r="W12" s="4" t="s">
        <v>322</v>
      </c>
      <c r="Y12" s="432" t="s">
        <v>283</v>
      </c>
      <c r="Z12" s="433">
        <v>0.2</v>
      </c>
      <c r="AA12" s="434" t="s">
        <v>42</v>
      </c>
      <c r="AB12" s="435" t="s">
        <v>323</v>
      </c>
      <c r="AC12" s="436" t="str">
        <f t="shared" si="0"/>
        <v>東京都目黒区</v>
      </c>
      <c r="AD12" s="437">
        <v>11.4</v>
      </c>
      <c r="AE12" s="438">
        <v>11.1</v>
      </c>
      <c r="AF12" s="439">
        <v>10.9</v>
      </c>
      <c r="AG12" s="432" t="s">
        <v>324</v>
      </c>
      <c r="AH12" s="433">
        <v>0.45</v>
      </c>
      <c r="AI12" s="33"/>
      <c r="AJ12" s="1"/>
      <c r="AK12" s="1"/>
      <c r="AL12" s="1"/>
      <c r="AM12" s="1"/>
      <c r="AN12" s="1"/>
      <c r="AO12" s="272" t="s">
        <v>2291</v>
      </c>
      <c r="AP12" s="273" t="s">
        <v>2344</v>
      </c>
      <c r="AQ12" s="374"/>
      <c r="AR12" s="269" t="s">
        <v>2345</v>
      </c>
      <c r="AS12" s="269" t="s">
        <v>2422</v>
      </c>
      <c r="AT12" s="270" t="s">
        <v>2359</v>
      </c>
      <c r="AU12" s="493"/>
      <c r="AV12" s="493"/>
      <c r="AX12" s="10" t="s">
        <v>2291</v>
      </c>
      <c r="AY12" s="10" t="s">
        <v>2452</v>
      </c>
      <c r="AZ12" s="359" t="s">
        <v>2387</v>
      </c>
      <c r="BA12" s="518" t="s">
        <v>2462</v>
      </c>
      <c r="BB12" s="84" t="s">
        <v>2388</v>
      </c>
      <c r="BC12" s="360"/>
      <c r="BF12" s="271" t="s">
        <v>189</v>
      </c>
    </row>
    <row r="13" spans="1:60" ht="68.25" thickBot="1">
      <c r="A13" s="10" t="s">
        <v>2291</v>
      </c>
      <c r="B13" s="279" t="s">
        <v>2292</v>
      </c>
      <c r="C13" s="400">
        <v>0.13800000000000001</v>
      </c>
      <c r="D13" s="400">
        <v>0.13400000000000001</v>
      </c>
      <c r="E13" s="400">
        <v>9.8000000000000004E-2</v>
      </c>
      <c r="F13" s="400">
        <v>0.08</v>
      </c>
      <c r="G13" s="400">
        <v>0.16400000000000001</v>
      </c>
      <c r="H13" s="400">
        <v>0.17100000000000001</v>
      </c>
      <c r="I13" s="400">
        <v>0.16</v>
      </c>
      <c r="J13" s="400">
        <v>0.16700000000000001</v>
      </c>
      <c r="K13" s="400">
        <v>0.124</v>
      </c>
      <c r="L13" s="400">
        <v>0.106</v>
      </c>
      <c r="M13" s="410"/>
      <c r="N13" s="317" t="s">
        <v>279</v>
      </c>
      <c r="O13" s="88" t="s">
        <v>286</v>
      </c>
      <c r="P13" s="33"/>
      <c r="Q13" s="33"/>
      <c r="R13" s="33"/>
      <c r="S13" s="33"/>
      <c r="T13" s="4" t="s">
        <v>326</v>
      </c>
      <c r="V13" s="6" t="s">
        <v>2208</v>
      </c>
      <c r="W13" s="4" t="s">
        <v>327</v>
      </c>
      <c r="Y13" s="432" t="s">
        <v>283</v>
      </c>
      <c r="Z13" s="433">
        <v>0.2</v>
      </c>
      <c r="AA13" s="434" t="s">
        <v>42</v>
      </c>
      <c r="AB13" s="435" t="s">
        <v>328</v>
      </c>
      <c r="AC13" s="436" t="str">
        <f t="shared" si="0"/>
        <v>東京都大田区</v>
      </c>
      <c r="AD13" s="437">
        <v>11.4</v>
      </c>
      <c r="AE13" s="438">
        <v>11.1</v>
      </c>
      <c r="AF13" s="439">
        <v>10.9</v>
      </c>
      <c r="AG13" s="432" t="s">
        <v>325</v>
      </c>
      <c r="AH13" s="433">
        <v>0.45</v>
      </c>
      <c r="AI13" s="33"/>
      <c r="AJ13" s="1"/>
      <c r="AK13" s="1"/>
      <c r="AL13" s="1"/>
      <c r="AM13" s="1"/>
      <c r="AN13" s="1"/>
      <c r="AO13" s="272" t="s">
        <v>2293</v>
      </c>
      <c r="AP13" s="273" t="s">
        <v>2344</v>
      </c>
      <c r="AQ13" s="374"/>
      <c r="AR13" s="269" t="s">
        <v>2289</v>
      </c>
      <c r="AS13" s="269" t="s">
        <v>2423</v>
      </c>
      <c r="AT13" s="270" t="s">
        <v>2360</v>
      </c>
      <c r="AU13" s="493"/>
      <c r="AV13" s="493"/>
      <c r="AX13" s="10" t="s">
        <v>2293</v>
      </c>
      <c r="AY13" s="10" t="s">
        <v>2439</v>
      </c>
      <c r="AZ13" s="359" t="s">
        <v>2387</v>
      </c>
      <c r="BA13" s="518" t="s">
        <v>2462</v>
      </c>
      <c r="BB13" s="84" t="s">
        <v>2388</v>
      </c>
      <c r="BC13" s="360"/>
      <c r="BF13" s="271" t="s">
        <v>2189</v>
      </c>
    </row>
    <row r="14" spans="1:60" ht="68.25" thickBot="1">
      <c r="A14" s="10" t="s">
        <v>2293</v>
      </c>
      <c r="B14" s="279" t="s">
        <v>2294</v>
      </c>
      <c r="C14" s="400">
        <v>0.13800000000000001</v>
      </c>
      <c r="D14" s="400">
        <v>0.13400000000000001</v>
      </c>
      <c r="E14" s="400">
        <v>9.8000000000000004E-2</v>
      </c>
      <c r="F14" s="400">
        <v>0.08</v>
      </c>
      <c r="G14" s="400">
        <v>0.16400000000000001</v>
      </c>
      <c r="H14" s="400">
        <v>0.17100000000000001</v>
      </c>
      <c r="I14" s="400">
        <v>0.16</v>
      </c>
      <c r="J14" s="400">
        <v>0.16700000000000001</v>
      </c>
      <c r="K14" s="400">
        <v>0.124</v>
      </c>
      <c r="L14" s="400">
        <v>0.106</v>
      </c>
      <c r="M14" s="410"/>
      <c r="N14" s="317" t="s">
        <v>279</v>
      </c>
      <c r="O14" s="88" t="s">
        <v>330</v>
      </c>
      <c r="P14" s="33"/>
      <c r="Q14" s="33"/>
      <c r="R14" s="33"/>
      <c r="S14" s="33"/>
      <c r="T14" s="4" t="s">
        <v>331</v>
      </c>
      <c r="V14" s="6" t="s">
        <v>2208</v>
      </c>
      <c r="W14" s="4" t="s">
        <v>332</v>
      </c>
      <c r="Y14" s="432" t="s">
        <v>283</v>
      </c>
      <c r="Z14" s="433">
        <v>0.2</v>
      </c>
      <c r="AA14" s="434" t="s">
        <v>42</v>
      </c>
      <c r="AB14" s="435" t="s">
        <v>333</v>
      </c>
      <c r="AC14" s="436" t="str">
        <f t="shared" si="0"/>
        <v>東京都世田谷区</v>
      </c>
      <c r="AD14" s="437">
        <v>11.4</v>
      </c>
      <c r="AE14" s="438">
        <v>11.1</v>
      </c>
      <c r="AF14" s="439">
        <v>10.9</v>
      </c>
      <c r="AG14" s="432" t="s">
        <v>334</v>
      </c>
      <c r="AH14" s="433">
        <v>0.45</v>
      </c>
      <c r="AI14" s="33"/>
      <c r="AJ14" s="1"/>
      <c r="AK14" s="1"/>
      <c r="AL14" s="1"/>
      <c r="AM14" s="1"/>
      <c r="AN14" s="1"/>
      <c r="AO14" s="272" t="s">
        <v>2346</v>
      </c>
      <c r="AP14" s="273" t="s">
        <v>2344</v>
      </c>
      <c r="AQ14" s="374"/>
      <c r="AR14" s="269" t="s">
        <v>2291</v>
      </c>
      <c r="AS14" s="269" t="s">
        <v>2440</v>
      </c>
      <c r="AT14" s="270" t="s">
        <v>2360</v>
      </c>
      <c r="AU14" s="493"/>
      <c r="AV14" s="493"/>
      <c r="AX14" s="10" t="s">
        <v>2295</v>
      </c>
      <c r="AY14" s="10" t="s">
        <v>2371</v>
      </c>
      <c r="AZ14" s="359" t="s">
        <v>2387</v>
      </c>
      <c r="BA14" s="518" t="s">
        <v>2462</v>
      </c>
      <c r="BB14" s="84" t="s">
        <v>2388</v>
      </c>
      <c r="BC14" s="360"/>
      <c r="BF14" s="264"/>
    </row>
    <row r="15" spans="1:60" ht="68.25" thickBot="1">
      <c r="A15" s="607" t="s">
        <v>2295</v>
      </c>
      <c r="B15" s="279" t="s">
        <v>2296</v>
      </c>
      <c r="C15" s="400">
        <v>0.13800000000000001</v>
      </c>
      <c r="D15" s="400">
        <v>0.13400000000000001</v>
      </c>
      <c r="E15" s="400">
        <v>9.8000000000000004E-2</v>
      </c>
      <c r="F15" s="400">
        <v>0.08</v>
      </c>
      <c r="G15" s="400">
        <v>0.16400000000000001</v>
      </c>
      <c r="H15" s="400">
        <v>0.17100000000000001</v>
      </c>
      <c r="I15" s="400">
        <v>0.16</v>
      </c>
      <c r="J15" s="400">
        <v>0.16700000000000001</v>
      </c>
      <c r="K15" s="400">
        <v>0.124</v>
      </c>
      <c r="L15" s="609">
        <v>0.106</v>
      </c>
      <c r="M15" s="410"/>
      <c r="N15" s="317" t="s">
        <v>279</v>
      </c>
      <c r="O15" s="88" t="s">
        <v>303</v>
      </c>
      <c r="P15" s="33"/>
      <c r="Q15" s="33"/>
      <c r="R15" s="33"/>
      <c r="S15" s="33"/>
      <c r="T15" s="4" t="s">
        <v>4</v>
      </c>
      <c r="V15" s="6" t="s">
        <v>2208</v>
      </c>
      <c r="W15" s="4" t="s">
        <v>335</v>
      </c>
      <c r="Y15" s="432" t="s">
        <v>283</v>
      </c>
      <c r="Z15" s="433">
        <v>0.2</v>
      </c>
      <c r="AA15" s="434" t="s">
        <v>42</v>
      </c>
      <c r="AB15" s="435" t="s">
        <v>336</v>
      </c>
      <c r="AC15" s="436" t="str">
        <f t="shared" si="0"/>
        <v>東京都渋谷区</v>
      </c>
      <c r="AD15" s="437">
        <v>11.4</v>
      </c>
      <c r="AE15" s="438">
        <v>11.1</v>
      </c>
      <c r="AF15" s="439">
        <v>10.9</v>
      </c>
      <c r="AG15" s="432" t="s">
        <v>337</v>
      </c>
      <c r="AH15" s="433">
        <v>0.45</v>
      </c>
      <c r="AI15" s="33"/>
      <c r="AJ15" s="1"/>
      <c r="AK15" s="1"/>
      <c r="AL15" s="1"/>
      <c r="AM15" s="1"/>
      <c r="AN15" s="1"/>
      <c r="AO15" s="272" t="s">
        <v>2347</v>
      </c>
      <c r="AP15" s="273" t="s">
        <v>2344</v>
      </c>
      <c r="AQ15" s="374"/>
      <c r="AR15" s="269" t="s">
        <v>2293</v>
      </c>
      <c r="AS15" s="269" t="s">
        <v>2441</v>
      </c>
      <c r="AT15" s="270" t="s">
        <v>2360</v>
      </c>
      <c r="AU15" s="493"/>
      <c r="AV15" s="493"/>
      <c r="AX15" s="10" t="s">
        <v>2297</v>
      </c>
      <c r="AY15" s="10" t="s">
        <v>2372</v>
      </c>
      <c r="AZ15" s="359" t="s">
        <v>2387</v>
      </c>
      <c r="BA15" s="518" t="s">
        <v>2462</v>
      </c>
      <c r="BB15" s="84" t="s">
        <v>2388</v>
      </c>
      <c r="BC15" s="360"/>
      <c r="BF15" s="351" t="s">
        <v>329</v>
      </c>
    </row>
    <row r="16" spans="1:60" ht="68.25" thickBot="1">
      <c r="A16" s="10" t="s">
        <v>2297</v>
      </c>
      <c r="B16" s="279" t="s">
        <v>2298</v>
      </c>
      <c r="C16" s="400">
        <v>0.10299999999999999</v>
      </c>
      <c r="D16" s="400">
        <v>0.10099999999999999</v>
      </c>
      <c r="E16" s="400">
        <v>8.5999999999999993E-2</v>
      </c>
      <c r="F16" s="400">
        <v>6.8999999999999992E-2</v>
      </c>
      <c r="G16" s="400">
        <v>0.115</v>
      </c>
      <c r="H16" s="400">
        <v>0.11899999999999999</v>
      </c>
      <c r="I16" s="400">
        <v>0.113</v>
      </c>
      <c r="J16" s="400">
        <v>0.11700000000000001</v>
      </c>
      <c r="K16" s="400">
        <v>9.8000000000000004E-2</v>
      </c>
      <c r="L16" s="400">
        <v>8.1000000000000003E-2</v>
      </c>
      <c r="M16" s="410"/>
      <c r="N16" s="317" t="s">
        <v>279</v>
      </c>
      <c r="O16" s="88" t="s">
        <v>286</v>
      </c>
      <c r="P16" s="33"/>
      <c r="Q16" s="33"/>
      <c r="R16" s="33"/>
      <c r="S16" s="33"/>
      <c r="T16" s="4" t="s">
        <v>338</v>
      </c>
      <c r="V16" s="6" t="s">
        <v>2208</v>
      </c>
      <c r="W16" s="4" t="s">
        <v>339</v>
      </c>
      <c r="Y16" s="432" t="s">
        <v>283</v>
      </c>
      <c r="Z16" s="433">
        <v>0.2</v>
      </c>
      <c r="AA16" s="434" t="s">
        <v>42</v>
      </c>
      <c r="AB16" s="435" t="s">
        <v>340</v>
      </c>
      <c r="AC16" s="436" t="str">
        <f t="shared" si="0"/>
        <v>東京都中野区</v>
      </c>
      <c r="AD16" s="437">
        <v>11.4</v>
      </c>
      <c r="AE16" s="438">
        <v>11.1</v>
      </c>
      <c r="AF16" s="439">
        <v>10.9</v>
      </c>
      <c r="AG16" s="432" t="s">
        <v>341</v>
      </c>
      <c r="AH16" s="433">
        <v>0.45</v>
      </c>
      <c r="AI16" s="33"/>
      <c r="AJ16" s="1"/>
      <c r="AK16" s="1"/>
      <c r="AL16" s="1"/>
      <c r="AM16" s="1"/>
      <c r="AN16" s="1"/>
      <c r="AO16" s="272" t="s">
        <v>2299</v>
      </c>
      <c r="AP16" s="273" t="s">
        <v>2344</v>
      </c>
      <c r="AQ16" s="374"/>
      <c r="AR16" s="269" t="s">
        <v>2361</v>
      </c>
      <c r="AS16" s="269" t="s">
        <v>2424</v>
      </c>
      <c r="AT16" s="270" t="s">
        <v>2360</v>
      </c>
      <c r="AU16" s="493"/>
      <c r="AV16" s="493"/>
      <c r="AX16" s="10" t="s">
        <v>2299</v>
      </c>
      <c r="AY16" s="10" t="s">
        <v>2373</v>
      </c>
      <c r="AZ16" s="359" t="s">
        <v>2387</v>
      </c>
      <c r="BA16" s="518" t="s">
        <v>2462</v>
      </c>
      <c r="BB16" s="84" t="s">
        <v>2388</v>
      </c>
      <c r="BC16" s="360"/>
      <c r="BF16" s="3" t="s">
        <v>188</v>
      </c>
    </row>
    <row r="17" spans="1:58" ht="68.25" thickBot="1">
      <c r="A17" s="10" t="s">
        <v>2299</v>
      </c>
      <c r="B17" s="279" t="s">
        <v>2300</v>
      </c>
      <c r="C17" s="400">
        <v>0.10299999999999999</v>
      </c>
      <c r="D17" s="400">
        <v>0.10099999999999999</v>
      </c>
      <c r="E17" s="400">
        <v>8.5999999999999993E-2</v>
      </c>
      <c r="F17" s="400">
        <v>6.8999999999999992E-2</v>
      </c>
      <c r="G17" s="400">
        <v>0.115</v>
      </c>
      <c r="H17" s="400">
        <v>0.11899999999999999</v>
      </c>
      <c r="I17" s="400">
        <v>0.113</v>
      </c>
      <c r="J17" s="400">
        <v>0.11700000000000001</v>
      </c>
      <c r="K17" s="400">
        <v>9.8000000000000004E-2</v>
      </c>
      <c r="L17" s="400">
        <v>8.1000000000000003E-2</v>
      </c>
      <c r="M17" s="410"/>
      <c r="N17" s="317" t="s">
        <v>279</v>
      </c>
      <c r="O17" s="88" t="s">
        <v>330</v>
      </c>
      <c r="P17" s="33"/>
      <c r="Q17" s="33"/>
      <c r="R17" s="33"/>
      <c r="S17" s="33"/>
      <c r="T17" s="4" t="s">
        <v>342</v>
      </c>
      <c r="V17" s="6" t="s">
        <v>2208</v>
      </c>
      <c r="W17" s="4" t="s">
        <v>343</v>
      </c>
      <c r="Y17" s="432" t="s">
        <v>283</v>
      </c>
      <c r="Z17" s="433">
        <v>0.2</v>
      </c>
      <c r="AA17" s="434" t="s">
        <v>42</v>
      </c>
      <c r="AB17" s="435" t="s">
        <v>344</v>
      </c>
      <c r="AC17" s="436" t="str">
        <f t="shared" si="0"/>
        <v>東京都杉並区</v>
      </c>
      <c r="AD17" s="437">
        <v>11.4</v>
      </c>
      <c r="AE17" s="438">
        <v>11.1</v>
      </c>
      <c r="AF17" s="439">
        <v>10.9</v>
      </c>
      <c r="AG17" s="432" t="s">
        <v>345</v>
      </c>
      <c r="AH17" s="433">
        <v>0.55000000000000004</v>
      </c>
      <c r="AI17" s="33"/>
      <c r="AJ17" s="1"/>
      <c r="AK17" s="1"/>
      <c r="AL17" s="1"/>
      <c r="AM17" s="1"/>
      <c r="AN17" s="1"/>
      <c r="AO17" s="272" t="s">
        <v>2348</v>
      </c>
      <c r="AP17" s="273" t="s">
        <v>2344</v>
      </c>
      <c r="AQ17" s="374"/>
      <c r="AR17" s="269" t="s">
        <v>2347</v>
      </c>
      <c r="AS17" s="269" t="s">
        <v>2425</v>
      </c>
      <c r="AT17" s="270" t="s">
        <v>2360</v>
      </c>
      <c r="AU17" s="493"/>
      <c r="AV17" s="494"/>
      <c r="AX17" s="10" t="s">
        <v>2301</v>
      </c>
      <c r="AY17" s="10" t="s">
        <v>2451</v>
      </c>
      <c r="AZ17" s="359" t="s">
        <v>2387</v>
      </c>
      <c r="BA17" s="518" t="s">
        <v>2462</v>
      </c>
      <c r="BB17" s="84" t="s">
        <v>2388</v>
      </c>
      <c r="BC17" s="360"/>
      <c r="BF17" s="608" t="s">
        <v>267</v>
      </c>
    </row>
    <row r="18" spans="1:58" ht="68.25" thickBot="1">
      <c r="A18" s="10" t="s">
        <v>2301</v>
      </c>
      <c r="B18" s="279" t="s">
        <v>2302</v>
      </c>
      <c r="C18" s="400">
        <v>0.10299999999999999</v>
      </c>
      <c r="D18" s="400">
        <v>0.10099999999999999</v>
      </c>
      <c r="E18" s="400">
        <v>8.5999999999999993E-2</v>
      </c>
      <c r="F18" s="400">
        <v>6.8999999999999992E-2</v>
      </c>
      <c r="G18" s="400">
        <v>0.115</v>
      </c>
      <c r="H18" s="400">
        <v>0.11899999999999999</v>
      </c>
      <c r="I18" s="400">
        <v>0.113</v>
      </c>
      <c r="J18" s="400">
        <v>0.11700000000000001</v>
      </c>
      <c r="K18" s="400">
        <v>9.8000000000000004E-2</v>
      </c>
      <c r="L18" s="400">
        <v>8.1000000000000003E-2</v>
      </c>
      <c r="M18" s="409"/>
      <c r="N18" s="317" t="s">
        <v>279</v>
      </c>
      <c r="O18" s="88" t="s">
        <v>286</v>
      </c>
      <c r="P18" s="33"/>
      <c r="Q18" s="33"/>
      <c r="R18" s="33"/>
      <c r="S18" s="33"/>
      <c r="T18" s="4" t="s">
        <v>346</v>
      </c>
      <c r="V18" s="6" t="s">
        <v>2208</v>
      </c>
      <c r="W18" s="4" t="s">
        <v>347</v>
      </c>
      <c r="Y18" s="432" t="s">
        <v>283</v>
      </c>
      <c r="Z18" s="433">
        <v>0.2</v>
      </c>
      <c r="AA18" s="434" t="s">
        <v>42</v>
      </c>
      <c r="AB18" s="435" t="s">
        <v>348</v>
      </c>
      <c r="AC18" s="436" t="str">
        <f t="shared" si="0"/>
        <v>東京都豊島区</v>
      </c>
      <c r="AD18" s="437">
        <v>11.4</v>
      </c>
      <c r="AE18" s="438">
        <v>11.1</v>
      </c>
      <c r="AF18" s="439">
        <v>10.9</v>
      </c>
      <c r="AG18" s="432" t="s">
        <v>349</v>
      </c>
      <c r="AH18" s="433">
        <v>0.55000000000000004</v>
      </c>
      <c r="AI18" s="33"/>
      <c r="AJ18" s="1"/>
      <c r="AK18" s="1"/>
      <c r="AL18" s="1"/>
      <c r="AM18" s="1"/>
      <c r="AN18" s="1"/>
      <c r="AO18" s="272" t="s">
        <v>2303</v>
      </c>
      <c r="AP18" s="273" t="s">
        <v>2344</v>
      </c>
      <c r="AQ18" s="374"/>
      <c r="AR18" s="269" t="s">
        <v>2299</v>
      </c>
      <c r="AS18" s="269" t="s">
        <v>2426</v>
      </c>
      <c r="AT18" s="270" t="s">
        <v>2360</v>
      </c>
      <c r="AU18" s="493"/>
      <c r="AV18" s="494"/>
      <c r="AX18" s="10" t="s">
        <v>2303</v>
      </c>
      <c r="AY18" s="10" t="s">
        <v>2374</v>
      </c>
      <c r="AZ18" s="359" t="s">
        <v>2387</v>
      </c>
      <c r="BA18" s="518" t="s">
        <v>2462</v>
      </c>
      <c r="BB18" s="84" t="s">
        <v>2388</v>
      </c>
      <c r="BC18" s="360"/>
      <c r="BF18" s="11" t="s">
        <v>109</v>
      </c>
    </row>
    <row r="19" spans="1:58" ht="68.25" thickBot="1">
      <c r="A19" s="10" t="s">
        <v>2303</v>
      </c>
      <c r="B19" s="279" t="s">
        <v>2304</v>
      </c>
      <c r="C19" s="400">
        <v>9.6000000000000002E-2</v>
      </c>
      <c r="D19" s="400">
        <v>9.4E-2</v>
      </c>
      <c r="E19" s="400">
        <v>7.9000000000000001E-2</v>
      </c>
      <c r="F19" s="400">
        <v>6.3E-2</v>
      </c>
      <c r="G19" s="400">
        <v>0.108</v>
      </c>
      <c r="H19" s="400">
        <v>0.112</v>
      </c>
      <c r="I19" s="400">
        <v>0.106</v>
      </c>
      <c r="J19" s="400">
        <v>0.11</v>
      </c>
      <c r="K19" s="400">
        <v>9.0999999999999998E-2</v>
      </c>
      <c r="L19" s="400">
        <v>7.4999999999999997E-2</v>
      </c>
      <c r="M19" s="409"/>
      <c r="N19" s="317" t="s">
        <v>279</v>
      </c>
      <c r="O19" s="88" t="s">
        <v>303</v>
      </c>
      <c r="P19" s="33"/>
      <c r="Q19" s="33"/>
      <c r="R19" s="33"/>
      <c r="S19" s="33"/>
      <c r="T19" s="4" t="s">
        <v>350</v>
      </c>
      <c r="V19" s="6" t="s">
        <v>2208</v>
      </c>
      <c r="W19" s="4" t="s">
        <v>351</v>
      </c>
      <c r="Y19" s="432" t="s">
        <v>283</v>
      </c>
      <c r="Z19" s="433">
        <v>0.2</v>
      </c>
      <c r="AA19" s="434" t="s">
        <v>42</v>
      </c>
      <c r="AB19" s="435" t="s">
        <v>352</v>
      </c>
      <c r="AC19" s="436" t="str">
        <f t="shared" si="0"/>
        <v>東京都北区</v>
      </c>
      <c r="AD19" s="437">
        <v>11.4</v>
      </c>
      <c r="AE19" s="438">
        <v>11.1</v>
      </c>
      <c r="AF19" s="439">
        <v>10.9</v>
      </c>
      <c r="AG19" s="432" t="s">
        <v>353</v>
      </c>
      <c r="AH19" s="433">
        <v>0.55000000000000004</v>
      </c>
      <c r="AI19" s="33"/>
      <c r="AJ19" s="1"/>
      <c r="AK19" s="1"/>
      <c r="AL19" s="1"/>
      <c r="AM19" s="1"/>
      <c r="AN19" s="1"/>
      <c r="AO19" s="272" t="s">
        <v>2305</v>
      </c>
      <c r="AP19" s="273" t="s">
        <v>2344</v>
      </c>
      <c r="AQ19" s="374"/>
      <c r="AR19" s="269" t="s">
        <v>2348</v>
      </c>
      <c r="AS19" s="269" t="s">
        <v>2442</v>
      </c>
      <c r="AT19" s="270" t="s">
        <v>2360</v>
      </c>
      <c r="AU19" s="493"/>
      <c r="AV19" s="494"/>
      <c r="AX19" s="10" t="s">
        <v>2305</v>
      </c>
      <c r="AY19" s="10" t="s">
        <v>2375</v>
      </c>
      <c r="AZ19" s="359" t="s">
        <v>2387</v>
      </c>
      <c r="BA19" s="518" t="s">
        <v>2462</v>
      </c>
      <c r="BB19" s="84" t="s">
        <v>2388</v>
      </c>
      <c r="BC19" s="360"/>
      <c r="BD19" s="497"/>
      <c r="BF19" s="11"/>
    </row>
    <row r="20" spans="1:58" ht="68.25" thickBot="1">
      <c r="A20" s="10" t="s">
        <v>2305</v>
      </c>
      <c r="B20" s="279" t="s">
        <v>2306</v>
      </c>
      <c r="C20" s="400">
        <v>9.2999999999999999E-2</v>
      </c>
      <c r="D20" s="400">
        <v>9.0999999999999998E-2</v>
      </c>
      <c r="E20" s="400">
        <v>7.5999999999999998E-2</v>
      </c>
      <c r="F20" s="400">
        <v>6.2E-2</v>
      </c>
      <c r="G20" s="400">
        <v>0.105</v>
      </c>
      <c r="H20" s="400">
        <v>0.109</v>
      </c>
      <c r="I20" s="400">
        <v>0.10299999999999999</v>
      </c>
      <c r="J20" s="400">
        <v>0.107</v>
      </c>
      <c r="K20" s="400">
        <v>8.7999999999999995E-2</v>
      </c>
      <c r="L20" s="400">
        <v>7.3999999999999996E-2</v>
      </c>
      <c r="M20" s="410"/>
      <c r="N20" s="317" t="s">
        <v>279</v>
      </c>
      <c r="O20" s="88" t="s">
        <v>286</v>
      </c>
      <c r="P20" s="33"/>
      <c r="Q20" s="33"/>
      <c r="R20" s="33"/>
      <c r="S20" s="33"/>
      <c r="T20" s="4" t="s">
        <v>354</v>
      </c>
      <c r="V20" s="6" t="s">
        <v>2208</v>
      </c>
      <c r="W20" s="4" t="s">
        <v>355</v>
      </c>
      <c r="Y20" s="432" t="s">
        <v>283</v>
      </c>
      <c r="Z20" s="433">
        <v>0.2</v>
      </c>
      <c r="AA20" s="434" t="s">
        <v>42</v>
      </c>
      <c r="AB20" s="435" t="s">
        <v>356</v>
      </c>
      <c r="AC20" s="436" t="str">
        <f t="shared" si="0"/>
        <v>東京都荒川区</v>
      </c>
      <c r="AD20" s="437">
        <v>11.4</v>
      </c>
      <c r="AE20" s="438">
        <v>11.1</v>
      </c>
      <c r="AF20" s="439">
        <v>10.9</v>
      </c>
      <c r="AG20" s="432" t="s">
        <v>357</v>
      </c>
      <c r="AH20" s="433">
        <v>0.55000000000000004</v>
      </c>
      <c r="AI20" s="33"/>
      <c r="AJ20" s="1"/>
      <c r="AK20" s="1"/>
      <c r="AL20" s="1"/>
      <c r="AM20" s="1"/>
      <c r="AN20" s="1"/>
      <c r="AO20" s="272" t="s">
        <v>2349</v>
      </c>
      <c r="AP20" s="273" t="s">
        <v>2344</v>
      </c>
      <c r="AQ20" s="374"/>
      <c r="AR20" s="269" t="s">
        <v>2303</v>
      </c>
      <c r="AS20" s="269" t="s">
        <v>2427</v>
      </c>
      <c r="AT20" s="270" t="s">
        <v>2360</v>
      </c>
      <c r="AU20" s="493"/>
      <c r="AV20" s="494"/>
      <c r="AX20" s="10" t="s">
        <v>2307</v>
      </c>
      <c r="AY20" s="10" t="s">
        <v>2376</v>
      </c>
      <c r="AZ20" s="359" t="s">
        <v>2387</v>
      </c>
      <c r="BA20" s="518" t="s">
        <v>2462</v>
      </c>
      <c r="BB20" s="84" t="s">
        <v>2388</v>
      </c>
      <c r="BC20" s="360"/>
      <c r="BD20" s="497"/>
    </row>
    <row r="21" spans="1:58" ht="68.25" thickBot="1">
      <c r="A21" s="597" t="s">
        <v>2307</v>
      </c>
      <c r="B21" s="279" t="s">
        <v>2308</v>
      </c>
      <c r="C21" s="400">
        <v>0.10299999999999999</v>
      </c>
      <c r="D21" s="401"/>
      <c r="E21" s="400">
        <v>8.5999999999999993E-2</v>
      </c>
      <c r="F21" s="400">
        <v>6.8999999999999992E-2</v>
      </c>
      <c r="G21" s="400">
        <v>0.115</v>
      </c>
      <c r="H21" s="400">
        <v>0.11899999999999999</v>
      </c>
      <c r="I21" s="401"/>
      <c r="J21" s="401"/>
      <c r="K21" s="400">
        <v>9.8000000000000004E-2</v>
      </c>
      <c r="L21" s="400">
        <v>8.1000000000000003E-2</v>
      </c>
      <c r="M21" s="410"/>
      <c r="N21" s="317" t="s">
        <v>279</v>
      </c>
      <c r="O21" s="88" t="s">
        <v>358</v>
      </c>
      <c r="P21" s="33"/>
      <c r="Q21" s="33"/>
      <c r="R21" s="33"/>
      <c r="S21" s="33"/>
      <c r="T21" s="4" t="s">
        <v>359</v>
      </c>
      <c r="V21" s="6" t="s">
        <v>2208</v>
      </c>
      <c r="W21" s="4" t="s">
        <v>360</v>
      </c>
      <c r="Y21" s="432" t="s">
        <v>283</v>
      </c>
      <c r="Z21" s="433">
        <v>0.2</v>
      </c>
      <c r="AA21" s="434" t="s">
        <v>42</v>
      </c>
      <c r="AB21" s="435" t="s">
        <v>361</v>
      </c>
      <c r="AC21" s="436" t="str">
        <f t="shared" si="0"/>
        <v>東京都板橋区</v>
      </c>
      <c r="AD21" s="437">
        <v>11.4</v>
      </c>
      <c r="AE21" s="438">
        <v>11.1</v>
      </c>
      <c r="AF21" s="439">
        <v>10.9</v>
      </c>
      <c r="AG21" s="432" t="s">
        <v>362</v>
      </c>
      <c r="AH21" s="433">
        <v>0.55000000000000004</v>
      </c>
      <c r="AI21" s="33"/>
      <c r="AJ21" s="1"/>
      <c r="AK21" s="1"/>
      <c r="AL21" s="1"/>
      <c r="AM21" s="1"/>
      <c r="AN21" s="1"/>
      <c r="AO21" s="272" t="s">
        <v>2350</v>
      </c>
      <c r="AP21" s="273" t="s">
        <v>2344</v>
      </c>
      <c r="AQ21" s="374"/>
      <c r="AR21" s="269" t="s">
        <v>2305</v>
      </c>
      <c r="AS21" s="269" t="s">
        <v>2428</v>
      </c>
      <c r="AT21" s="270" t="s">
        <v>2360</v>
      </c>
      <c r="AU21" s="493"/>
      <c r="AV21" s="494"/>
      <c r="AX21" s="10" t="s">
        <v>2309</v>
      </c>
      <c r="AY21" s="10" t="s">
        <v>2377</v>
      </c>
      <c r="AZ21" s="359" t="s">
        <v>2387</v>
      </c>
      <c r="BA21" s="518" t="s">
        <v>2462</v>
      </c>
      <c r="BB21" s="84" t="s">
        <v>2388</v>
      </c>
      <c r="BC21" s="360"/>
      <c r="BD21" s="497"/>
      <c r="BF21" s="384" t="s">
        <v>2216</v>
      </c>
    </row>
    <row r="22" spans="1:58" ht="68.25" thickBot="1">
      <c r="A22" s="10" t="s">
        <v>2309</v>
      </c>
      <c r="B22" s="279" t="s">
        <v>2310</v>
      </c>
      <c r="C22" s="400">
        <v>0.10299999999999999</v>
      </c>
      <c r="D22" s="400">
        <v>0.10099999999999999</v>
      </c>
      <c r="E22" s="400">
        <v>8.5999999999999993E-2</v>
      </c>
      <c r="F22" s="400">
        <v>6.8999999999999992E-2</v>
      </c>
      <c r="G22" s="400">
        <v>0.115</v>
      </c>
      <c r="H22" s="400">
        <v>0.11899999999999999</v>
      </c>
      <c r="I22" s="400">
        <v>0.113</v>
      </c>
      <c r="J22" s="400">
        <v>0.11700000000000001</v>
      </c>
      <c r="K22" s="400">
        <v>9.8000000000000004E-2</v>
      </c>
      <c r="L22" s="400">
        <v>8.1000000000000003E-2</v>
      </c>
      <c r="M22" s="410"/>
      <c r="N22" s="317" t="s">
        <v>279</v>
      </c>
      <c r="O22" s="88" t="s">
        <v>303</v>
      </c>
      <c r="P22" s="33"/>
      <c r="Q22" s="33"/>
      <c r="R22" s="33"/>
      <c r="S22" s="33"/>
      <c r="T22" s="4" t="s">
        <v>363</v>
      </c>
      <c r="V22" s="6" t="s">
        <v>2208</v>
      </c>
      <c r="W22" s="4" t="s">
        <v>364</v>
      </c>
      <c r="Y22" s="432" t="s">
        <v>283</v>
      </c>
      <c r="Z22" s="433">
        <v>0.2</v>
      </c>
      <c r="AA22" s="434" t="s">
        <v>42</v>
      </c>
      <c r="AB22" s="435" t="s">
        <v>365</v>
      </c>
      <c r="AC22" s="436" t="str">
        <f t="shared" si="0"/>
        <v>東京都練馬区</v>
      </c>
      <c r="AD22" s="437">
        <v>11.4</v>
      </c>
      <c r="AE22" s="438">
        <v>11.1</v>
      </c>
      <c r="AF22" s="439">
        <v>10.9</v>
      </c>
      <c r="AG22" s="432" t="s">
        <v>366</v>
      </c>
      <c r="AH22" s="433">
        <v>0.55000000000000004</v>
      </c>
      <c r="AI22" s="33"/>
      <c r="AJ22" s="1"/>
      <c r="AK22" s="1"/>
      <c r="AL22" s="1"/>
      <c r="AM22" s="1"/>
      <c r="AN22" s="1"/>
      <c r="AO22" s="272" t="s">
        <v>2351</v>
      </c>
      <c r="AP22" s="273" t="s">
        <v>2344</v>
      </c>
      <c r="AQ22" s="374"/>
      <c r="AR22" s="269" t="s">
        <v>2349</v>
      </c>
      <c r="AS22" s="269" t="s">
        <v>2429</v>
      </c>
      <c r="AT22" s="270" t="s">
        <v>2359</v>
      </c>
      <c r="AU22" s="493"/>
      <c r="AV22" s="494"/>
      <c r="AX22" s="10" t="s">
        <v>2311</v>
      </c>
      <c r="AY22" s="10" t="s">
        <v>2450</v>
      </c>
      <c r="AZ22" s="359" t="s">
        <v>2387</v>
      </c>
      <c r="BA22" s="518" t="s">
        <v>2462</v>
      </c>
      <c r="BB22" s="84" t="s">
        <v>2388</v>
      </c>
      <c r="BC22" s="360"/>
      <c r="BD22" s="497"/>
      <c r="BF22" s="263" t="s">
        <v>188</v>
      </c>
    </row>
    <row r="23" spans="1:58" ht="68.25" thickBot="1">
      <c r="A23" s="10" t="s">
        <v>2311</v>
      </c>
      <c r="B23" s="279" t="s">
        <v>2312</v>
      </c>
      <c r="C23" s="400">
        <v>0.14700000000000002</v>
      </c>
      <c r="D23" s="400">
        <v>0.14400000000000002</v>
      </c>
      <c r="E23" s="400">
        <v>0.128</v>
      </c>
      <c r="F23" s="400">
        <v>0.105</v>
      </c>
      <c r="G23" s="400">
        <v>0.16300000000000001</v>
      </c>
      <c r="H23" s="400">
        <v>0.16900000000000001</v>
      </c>
      <c r="I23" s="400">
        <v>0.16</v>
      </c>
      <c r="J23" s="400">
        <v>0.16600000000000001</v>
      </c>
      <c r="K23" s="400">
        <v>0.14399999999999999</v>
      </c>
      <c r="L23" s="400">
        <v>0.121</v>
      </c>
      <c r="M23" s="410"/>
      <c r="N23" s="317" t="s">
        <v>279</v>
      </c>
      <c r="O23" s="88" t="s">
        <v>367</v>
      </c>
      <c r="P23" s="33"/>
      <c r="Q23" s="33"/>
      <c r="R23" s="33"/>
      <c r="S23" s="33"/>
      <c r="T23" s="4" t="s">
        <v>368</v>
      </c>
      <c r="V23" s="6" t="s">
        <v>2208</v>
      </c>
      <c r="W23" s="4" t="s">
        <v>369</v>
      </c>
      <c r="Y23" s="432" t="s">
        <v>283</v>
      </c>
      <c r="Z23" s="433">
        <v>0.2</v>
      </c>
      <c r="AA23" s="434" t="s">
        <v>42</v>
      </c>
      <c r="AB23" s="435" t="s">
        <v>370</v>
      </c>
      <c r="AC23" s="436" t="str">
        <f t="shared" si="0"/>
        <v>東京都足立区</v>
      </c>
      <c r="AD23" s="437">
        <v>11.4</v>
      </c>
      <c r="AE23" s="438">
        <v>11.1</v>
      </c>
      <c r="AF23" s="439">
        <v>10.9</v>
      </c>
      <c r="AG23" s="440" t="s">
        <v>371</v>
      </c>
      <c r="AH23" s="433">
        <v>0.55000000000000004</v>
      </c>
      <c r="AI23" s="33"/>
      <c r="AJ23" s="1"/>
      <c r="AK23" s="1"/>
      <c r="AL23" s="1"/>
      <c r="AM23" s="1"/>
      <c r="AN23" s="1"/>
      <c r="AO23" s="272" t="s">
        <v>2352</v>
      </c>
      <c r="AP23" s="273" t="s">
        <v>2344</v>
      </c>
      <c r="AQ23" s="374"/>
      <c r="AR23" s="269" t="s">
        <v>2350</v>
      </c>
      <c r="AS23" s="269" t="s">
        <v>2430</v>
      </c>
      <c r="AT23" s="270" t="s">
        <v>2360</v>
      </c>
      <c r="AU23" s="493"/>
      <c r="AV23" s="494"/>
      <c r="AX23" s="10" t="s">
        <v>2313</v>
      </c>
      <c r="AY23" s="10" t="s">
        <v>2449</v>
      </c>
      <c r="AZ23" s="359" t="s">
        <v>2387</v>
      </c>
      <c r="BA23" s="518" t="s">
        <v>2462</v>
      </c>
      <c r="BB23" s="84" t="s">
        <v>2388</v>
      </c>
      <c r="BC23" s="360"/>
      <c r="BD23" s="497"/>
      <c r="BF23" s="271"/>
    </row>
    <row r="24" spans="1:58" ht="68.25" thickBot="1">
      <c r="A24" s="10" t="s">
        <v>2313</v>
      </c>
      <c r="B24" s="279" t="s">
        <v>2312</v>
      </c>
      <c r="C24" s="400">
        <v>0.14700000000000002</v>
      </c>
      <c r="D24" s="400">
        <v>0.14400000000000002</v>
      </c>
      <c r="E24" s="400">
        <v>0.128</v>
      </c>
      <c r="F24" s="400">
        <v>0.105</v>
      </c>
      <c r="G24" s="400">
        <v>0.16300000000000001</v>
      </c>
      <c r="H24" s="400">
        <v>0.16900000000000001</v>
      </c>
      <c r="I24" s="400">
        <v>0.16</v>
      </c>
      <c r="J24" s="400">
        <v>0.16600000000000001</v>
      </c>
      <c r="K24" s="400">
        <v>0.14399999999999999</v>
      </c>
      <c r="L24" s="400">
        <v>0.121</v>
      </c>
      <c r="M24" s="410"/>
      <c r="N24" s="317" t="s">
        <v>279</v>
      </c>
      <c r="O24" s="88" t="s">
        <v>286</v>
      </c>
      <c r="P24" s="33"/>
      <c r="Q24" s="33"/>
      <c r="R24" s="33"/>
      <c r="S24" s="33"/>
      <c r="T24" s="4" t="s">
        <v>372</v>
      </c>
      <c r="V24" s="6" t="s">
        <v>2208</v>
      </c>
      <c r="W24" s="4" t="s">
        <v>373</v>
      </c>
      <c r="Y24" s="432" t="s">
        <v>283</v>
      </c>
      <c r="Z24" s="433">
        <v>0.2</v>
      </c>
      <c r="AA24" s="434" t="s">
        <v>42</v>
      </c>
      <c r="AB24" s="435" t="s">
        <v>374</v>
      </c>
      <c r="AC24" s="436" t="str">
        <f t="shared" si="0"/>
        <v>東京都葛飾区</v>
      </c>
      <c r="AD24" s="437">
        <v>11.4</v>
      </c>
      <c r="AE24" s="438">
        <v>11.1</v>
      </c>
      <c r="AF24" s="439">
        <v>10.9</v>
      </c>
      <c r="AG24" s="440" t="s">
        <v>375</v>
      </c>
      <c r="AH24" s="433">
        <v>0.55000000000000004</v>
      </c>
      <c r="AI24" s="33"/>
      <c r="AJ24" s="1"/>
      <c r="AK24" s="1"/>
      <c r="AL24" s="1"/>
      <c r="AM24" s="1"/>
      <c r="AN24" s="1"/>
      <c r="AO24" s="272" t="s">
        <v>2353</v>
      </c>
      <c r="AP24" s="273" t="s">
        <v>2344</v>
      </c>
      <c r="AQ24" s="374"/>
      <c r="AR24" s="269" t="s">
        <v>2351</v>
      </c>
      <c r="AS24" s="269" t="s">
        <v>2443</v>
      </c>
      <c r="AT24" s="270" t="s">
        <v>2360</v>
      </c>
      <c r="AU24" s="493"/>
      <c r="AV24" s="494"/>
      <c r="AX24" s="10" t="s">
        <v>2314</v>
      </c>
      <c r="AY24" s="10" t="s">
        <v>2448</v>
      </c>
      <c r="AZ24" s="359" t="s">
        <v>2387</v>
      </c>
      <c r="BA24" s="518" t="s">
        <v>2462</v>
      </c>
      <c r="BB24" s="84" t="s">
        <v>2388</v>
      </c>
      <c r="BC24" s="360"/>
      <c r="BD24" s="497"/>
      <c r="BF24" s="271"/>
    </row>
    <row r="25" spans="1:58" ht="68.25" thickBot="1">
      <c r="A25" s="10" t="s">
        <v>2314</v>
      </c>
      <c r="B25" s="279" t="s">
        <v>2312</v>
      </c>
      <c r="C25" s="400">
        <v>0.21099999999999997</v>
      </c>
      <c r="D25" s="400">
        <v>0.20799999999999996</v>
      </c>
      <c r="E25" s="400">
        <v>0.192</v>
      </c>
      <c r="F25" s="400">
        <v>0.15200000000000002</v>
      </c>
      <c r="G25" s="400">
        <v>0.22700000000000001</v>
      </c>
      <c r="H25" s="400">
        <v>0.23300000000000001</v>
      </c>
      <c r="I25" s="400">
        <v>0.224</v>
      </c>
      <c r="J25" s="400">
        <v>0.23</v>
      </c>
      <c r="K25" s="400">
        <v>0.20799999999999999</v>
      </c>
      <c r="L25" s="400">
        <v>0.16800000000000001</v>
      </c>
      <c r="M25" s="410"/>
      <c r="N25" s="317" t="s">
        <v>279</v>
      </c>
      <c r="O25" s="88" t="s">
        <v>330</v>
      </c>
      <c r="P25" s="33"/>
      <c r="Q25" s="33"/>
      <c r="R25" s="33"/>
      <c r="S25" s="33"/>
      <c r="T25" s="4" t="s">
        <v>376</v>
      </c>
      <c r="V25" s="6" t="s">
        <v>2208</v>
      </c>
      <c r="W25" s="4" t="s">
        <v>377</v>
      </c>
      <c r="Y25" s="441" t="s">
        <v>283</v>
      </c>
      <c r="Z25" s="442">
        <v>0.2</v>
      </c>
      <c r="AA25" s="443" t="s">
        <v>42</v>
      </c>
      <c r="AB25" s="444" t="s">
        <v>378</v>
      </c>
      <c r="AC25" s="445" t="str">
        <f t="shared" si="0"/>
        <v>東京都江戸川区</v>
      </c>
      <c r="AD25" s="446">
        <v>11.4</v>
      </c>
      <c r="AE25" s="447">
        <v>11.1</v>
      </c>
      <c r="AF25" s="448">
        <v>10.9</v>
      </c>
      <c r="AG25" s="432" t="s">
        <v>379</v>
      </c>
      <c r="AH25" s="433">
        <v>0.45</v>
      </c>
      <c r="AI25" s="33"/>
      <c r="AJ25" s="1"/>
      <c r="AK25" s="1"/>
      <c r="AL25" s="1"/>
      <c r="AM25" s="1"/>
      <c r="AN25" s="1"/>
      <c r="AO25" s="272" t="s">
        <v>2315</v>
      </c>
      <c r="AP25" s="273" t="s">
        <v>2344</v>
      </c>
      <c r="AQ25" s="374"/>
      <c r="AR25" s="269" t="s">
        <v>2352</v>
      </c>
      <c r="AS25" s="269" t="s">
        <v>2444</v>
      </c>
      <c r="AT25" s="270" t="s">
        <v>2360</v>
      </c>
      <c r="AU25" s="493"/>
      <c r="AV25" s="494"/>
      <c r="AX25" s="10" t="s">
        <v>2315</v>
      </c>
      <c r="AY25" s="10" t="s">
        <v>2378</v>
      </c>
      <c r="AZ25" s="359" t="s">
        <v>2387</v>
      </c>
      <c r="BA25" s="518" t="s">
        <v>2462</v>
      </c>
      <c r="BB25" s="84" t="s">
        <v>2388</v>
      </c>
      <c r="BC25" s="360"/>
      <c r="BD25" s="497"/>
      <c r="BF25" s="271"/>
    </row>
    <row r="26" spans="1:58" ht="68.25" thickBot="1">
      <c r="A26" s="10" t="s">
        <v>2315</v>
      </c>
      <c r="B26" s="279" t="s">
        <v>2316</v>
      </c>
      <c r="C26" s="400">
        <v>0.13100000000000001</v>
      </c>
      <c r="D26" s="400">
        <v>0.128</v>
      </c>
      <c r="E26" s="400">
        <v>0.11800000000000001</v>
      </c>
      <c r="F26" s="400">
        <v>9.6000000000000002E-2</v>
      </c>
      <c r="G26" s="400">
        <v>0.152</v>
      </c>
      <c r="H26" s="400">
        <v>0.158</v>
      </c>
      <c r="I26" s="400">
        <v>0.14899999999999999</v>
      </c>
      <c r="J26" s="400">
        <v>0.155</v>
      </c>
      <c r="K26" s="400">
        <v>0.13900000000000001</v>
      </c>
      <c r="L26" s="400">
        <v>0.11700000000000001</v>
      </c>
      <c r="M26" s="411"/>
      <c r="N26" s="317" t="s">
        <v>279</v>
      </c>
      <c r="O26" s="88" t="s">
        <v>286</v>
      </c>
      <c r="P26" s="33"/>
      <c r="Q26" s="33"/>
      <c r="R26" s="33"/>
      <c r="S26" s="33"/>
      <c r="T26" s="4" t="s">
        <v>380</v>
      </c>
      <c r="V26" s="6" t="s">
        <v>2208</v>
      </c>
      <c r="W26" s="4" t="s">
        <v>381</v>
      </c>
      <c r="Y26" s="449" t="s">
        <v>382</v>
      </c>
      <c r="Z26" s="450">
        <v>0.16</v>
      </c>
      <c r="AA26" s="451" t="s">
        <v>42</v>
      </c>
      <c r="AB26" s="452" t="s">
        <v>383</v>
      </c>
      <c r="AC26" s="453" t="str">
        <f t="shared" si="0"/>
        <v>東京都調布市</v>
      </c>
      <c r="AD26" s="454">
        <v>11.12</v>
      </c>
      <c r="AE26" s="427">
        <v>10.88</v>
      </c>
      <c r="AF26" s="455">
        <v>10.72</v>
      </c>
      <c r="AG26" s="432" t="s">
        <v>384</v>
      </c>
      <c r="AH26" s="433">
        <v>0.45</v>
      </c>
      <c r="AI26" s="33"/>
      <c r="AJ26" s="1"/>
      <c r="AK26" s="1"/>
      <c r="AL26" s="1"/>
      <c r="AM26" s="1"/>
      <c r="AN26" s="1"/>
      <c r="AO26" s="272" t="s">
        <v>2317</v>
      </c>
      <c r="AP26" s="273" t="s">
        <v>2344</v>
      </c>
      <c r="AQ26" s="374"/>
      <c r="AR26" s="269" t="s">
        <v>2353</v>
      </c>
      <c r="AS26" s="269" t="s">
        <v>2445</v>
      </c>
      <c r="AT26" s="270" t="s">
        <v>2360</v>
      </c>
      <c r="AU26" s="493"/>
      <c r="AV26" s="494"/>
      <c r="AX26" s="10" t="s">
        <v>2317</v>
      </c>
      <c r="AY26" s="10" t="s">
        <v>2379</v>
      </c>
      <c r="AZ26" s="359" t="s">
        <v>2387</v>
      </c>
      <c r="BA26" s="518" t="s">
        <v>2462</v>
      </c>
      <c r="BB26" s="84" t="s">
        <v>2388</v>
      </c>
      <c r="BC26" s="360"/>
      <c r="BD26" s="497"/>
      <c r="BF26" s="500"/>
    </row>
    <row r="27" spans="1:58" ht="68.25" thickBot="1">
      <c r="A27" s="10" t="s">
        <v>2317</v>
      </c>
      <c r="B27" s="279" t="s">
        <v>2318</v>
      </c>
      <c r="C27" s="400">
        <v>0.17599999999999999</v>
      </c>
      <c r="D27" s="400">
        <v>0.17299999999999999</v>
      </c>
      <c r="E27" s="400">
        <v>0.16299999999999998</v>
      </c>
      <c r="F27" s="400">
        <v>0.129</v>
      </c>
      <c r="G27" s="400">
        <v>0.19700000000000001</v>
      </c>
      <c r="H27" s="400">
        <v>0.20300000000000001</v>
      </c>
      <c r="I27" s="400">
        <v>0.19400000000000001</v>
      </c>
      <c r="J27" s="400">
        <v>0.2</v>
      </c>
      <c r="K27" s="400">
        <v>0.184</v>
      </c>
      <c r="L27" s="400">
        <v>0.15</v>
      </c>
      <c r="M27" s="411"/>
      <c r="N27" s="317" t="s">
        <v>279</v>
      </c>
      <c r="O27" s="88" t="s">
        <v>330</v>
      </c>
      <c r="P27" s="33"/>
      <c r="Q27" s="33"/>
      <c r="R27" s="33"/>
      <c r="S27" s="33"/>
      <c r="T27" s="4" t="s">
        <v>385</v>
      </c>
      <c r="V27" s="6" t="s">
        <v>2208</v>
      </c>
      <c r="W27" s="4" t="s">
        <v>386</v>
      </c>
      <c r="Y27" s="432" t="s">
        <v>382</v>
      </c>
      <c r="Z27" s="433">
        <v>0.16</v>
      </c>
      <c r="AA27" s="434" t="s">
        <v>42</v>
      </c>
      <c r="AB27" s="435" t="s">
        <v>387</v>
      </c>
      <c r="AC27" s="456" t="str">
        <f t="shared" si="0"/>
        <v>東京都町田市</v>
      </c>
      <c r="AD27" s="457">
        <v>11.12</v>
      </c>
      <c r="AE27" s="435">
        <v>10.88</v>
      </c>
      <c r="AF27" s="453">
        <v>10.72</v>
      </c>
      <c r="AG27" s="432" t="s">
        <v>388</v>
      </c>
      <c r="AH27" s="433">
        <v>0.45</v>
      </c>
      <c r="AI27" s="33"/>
      <c r="AJ27" s="1"/>
      <c r="AK27" s="1"/>
      <c r="AL27" s="1"/>
      <c r="AM27" s="1"/>
      <c r="AN27" s="1"/>
      <c r="AO27" s="272" t="s">
        <v>2319</v>
      </c>
      <c r="AP27" s="273" t="s">
        <v>2344</v>
      </c>
      <c r="AQ27" s="374"/>
      <c r="AR27" s="269" t="s">
        <v>2315</v>
      </c>
      <c r="AS27" s="269" t="s">
        <v>2431</v>
      </c>
      <c r="AT27" s="270" t="s">
        <v>2360</v>
      </c>
      <c r="AU27" s="493"/>
      <c r="AV27" s="494"/>
      <c r="AX27" s="10" t="s">
        <v>2319</v>
      </c>
      <c r="AY27" s="10" t="s">
        <v>2380</v>
      </c>
      <c r="AZ27" s="359" t="s">
        <v>2387</v>
      </c>
      <c r="BA27" s="518" t="s">
        <v>2462</v>
      </c>
      <c r="BB27" s="84" t="s">
        <v>2388</v>
      </c>
      <c r="BC27" s="360"/>
      <c r="BD27" s="497"/>
    </row>
    <row r="28" spans="1:58" ht="68.25" thickBot="1">
      <c r="A28" s="10" t="s">
        <v>2319</v>
      </c>
      <c r="B28" s="279" t="s">
        <v>2320</v>
      </c>
      <c r="C28" s="400">
        <v>0.13400000000000001</v>
      </c>
      <c r="D28" s="400">
        <v>0.13100000000000001</v>
      </c>
      <c r="E28" s="400">
        <v>0.12100000000000001</v>
      </c>
      <c r="F28" s="400">
        <v>9.8000000000000004E-2</v>
      </c>
      <c r="G28" s="400">
        <v>0.155</v>
      </c>
      <c r="H28" s="400">
        <v>0.161</v>
      </c>
      <c r="I28" s="400">
        <v>0.152</v>
      </c>
      <c r="J28" s="400">
        <v>0.158</v>
      </c>
      <c r="K28" s="400">
        <v>0.14199999999999999</v>
      </c>
      <c r="L28" s="400">
        <v>0.11899999999999999</v>
      </c>
      <c r="M28" s="411"/>
      <c r="N28" s="317" t="s">
        <v>279</v>
      </c>
      <c r="O28" s="88" t="s">
        <v>303</v>
      </c>
      <c r="P28" s="33"/>
      <c r="Q28" s="33"/>
      <c r="R28" s="33"/>
      <c r="S28" s="33"/>
      <c r="T28" s="4" t="s">
        <v>389</v>
      </c>
      <c r="V28" s="6" t="s">
        <v>2208</v>
      </c>
      <c r="W28" s="4" t="s">
        <v>390</v>
      </c>
      <c r="Y28" s="432" t="s">
        <v>382</v>
      </c>
      <c r="Z28" s="433">
        <v>0.16</v>
      </c>
      <c r="AA28" s="434" t="s">
        <v>42</v>
      </c>
      <c r="AB28" s="435" t="s">
        <v>391</v>
      </c>
      <c r="AC28" s="456" t="str">
        <f t="shared" si="0"/>
        <v>東京都狛江市</v>
      </c>
      <c r="AD28" s="457">
        <v>11.12</v>
      </c>
      <c r="AE28" s="435">
        <v>10.88</v>
      </c>
      <c r="AF28" s="456">
        <v>10.72</v>
      </c>
      <c r="AG28" s="432" t="s">
        <v>392</v>
      </c>
      <c r="AH28" s="433">
        <v>0.45</v>
      </c>
      <c r="AI28" s="33"/>
      <c r="AJ28" s="1"/>
      <c r="AK28" s="1"/>
      <c r="AL28" s="1"/>
      <c r="AM28" s="1"/>
      <c r="AN28" s="1"/>
      <c r="AO28" s="272" t="s">
        <v>2321</v>
      </c>
      <c r="AP28" s="273" t="s">
        <v>2344</v>
      </c>
      <c r="AQ28" s="374"/>
      <c r="AR28" s="269" t="s">
        <v>2317</v>
      </c>
      <c r="AS28" s="269" t="s">
        <v>2432</v>
      </c>
      <c r="AT28" s="270" t="s">
        <v>2360</v>
      </c>
      <c r="AU28" s="493"/>
      <c r="AV28" s="494"/>
      <c r="AX28" s="10" t="s">
        <v>2321</v>
      </c>
      <c r="AY28" s="10" t="s">
        <v>2381</v>
      </c>
      <c r="AZ28" s="359" t="s">
        <v>2387</v>
      </c>
      <c r="BA28" s="518" t="s">
        <v>2462</v>
      </c>
      <c r="BB28" s="84" t="s">
        <v>2388</v>
      </c>
      <c r="BC28" s="360"/>
      <c r="BD28" s="497"/>
    </row>
    <row r="29" spans="1:58" ht="68.25" thickBot="1">
      <c r="A29" s="597" t="s">
        <v>2321</v>
      </c>
      <c r="B29" s="279" t="s">
        <v>2322</v>
      </c>
      <c r="C29" s="400">
        <v>0.129</v>
      </c>
      <c r="D29" s="401"/>
      <c r="E29" s="400">
        <v>0.11800000000000001</v>
      </c>
      <c r="F29" s="400">
        <v>9.6000000000000002E-2</v>
      </c>
      <c r="G29" s="400">
        <v>0.15</v>
      </c>
      <c r="H29" s="400">
        <v>0.156</v>
      </c>
      <c r="I29" s="401"/>
      <c r="J29" s="401"/>
      <c r="K29" s="400">
        <v>0.13900000000000001</v>
      </c>
      <c r="L29" s="400">
        <v>0.11700000000000001</v>
      </c>
      <c r="M29" s="411"/>
      <c r="N29" s="317" t="s">
        <v>279</v>
      </c>
      <c r="O29" s="88" t="s">
        <v>367</v>
      </c>
      <c r="P29" s="33"/>
      <c r="Q29" s="33"/>
      <c r="R29" s="33"/>
      <c r="S29" s="33"/>
      <c r="T29" s="4" t="s">
        <v>393</v>
      </c>
      <c r="V29" s="6" t="s">
        <v>2208</v>
      </c>
      <c r="W29" s="4" t="s">
        <v>394</v>
      </c>
      <c r="Y29" s="432" t="s">
        <v>382</v>
      </c>
      <c r="Z29" s="433">
        <v>0.16</v>
      </c>
      <c r="AA29" s="434" t="s">
        <v>42</v>
      </c>
      <c r="AB29" s="435" t="s">
        <v>395</v>
      </c>
      <c r="AC29" s="456" t="str">
        <f t="shared" si="0"/>
        <v>東京都多摩市</v>
      </c>
      <c r="AD29" s="457">
        <v>11.12</v>
      </c>
      <c r="AE29" s="435">
        <v>10.88</v>
      </c>
      <c r="AF29" s="456">
        <v>10.72</v>
      </c>
      <c r="AG29" s="432" t="s">
        <v>396</v>
      </c>
      <c r="AH29" s="433">
        <v>0.45</v>
      </c>
      <c r="AI29" s="33"/>
      <c r="AJ29" s="1"/>
      <c r="AK29" s="1"/>
      <c r="AL29" s="1"/>
      <c r="AM29" s="1"/>
      <c r="AN29" s="1"/>
      <c r="AO29" s="272" t="s">
        <v>2323</v>
      </c>
      <c r="AP29" s="273" t="s">
        <v>2344</v>
      </c>
      <c r="AQ29" s="374"/>
      <c r="AR29" s="269" t="s">
        <v>2319</v>
      </c>
      <c r="AS29" s="269" t="s">
        <v>2433</v>
      </c>
      <c r="AT29" s="270" t="s">
        <v>2360</v>
      </c>
      <c r="AU29" s="493"/>
      <c r="AV29" s="493"/>
      <c r="AX29" s="10" t="s">
        <v>2323</v>
      </c>
      <c r="AY29" s="10" t="s">
        <v>2382</v>
      </c>
      <c r="AZ29" s="359" t="s">
        <v>2387</v>
      </c>
      <c r="BA29" s="518" t="s">
        <v>2462</v>
      </c>
      <c r="BB29" s="84" t="s">
        <v>2388</v>
      </c>
      <c r="BC29" s="360"/>
      <c r="BD29" s="497"/>
    </row>
    <row r="30" spans="1:58" ht="68.25" thickBot="1">
      <c r="A30" s="597" t="s">
        <v>2323</v>
      </c>
      <c r="B30" s="279" t="s">
        <v>2324</v>
      </c>
      <c r="C30" s="400">
        <v>0.129</v>
      </c>
      <c r="D30" s="401"/>
      <c r="E30" s="400">
        <v>0.11800000000000001</v>
      </c>
      <c r="F30" s="400">
        <v>9.6000000000000002E-2</v>
      </c>
      <c r="G30" s="400">
        <v>0.15</v>
      </c>
      <c r="H30" s="400">
        <v>0.156</v>
      </c>
      <c r="I30" s="401"/>
      <c r="J30" s="401"/>
      <c r="K30" s="400">
        <v>0.13900000000000001</v>
      </c>
      <c r="L30" s="400">
        <v>0.11700000000000001</v>
      </c>
      <c r="M30" s="410"/>
      <c r="N30" s="317" t="s">
        <v>279</v>
      </c>
      <c r="O30" s="88" t="s">
        <v>286</v>
      </c>
      <c r="P30" s="33"/>
      <c r="Q30" s="33"/>
      <c r="R30" s="33"/>
      <c r="S30" s="33"/>
      <c r="T30" s="4" t="s">
        <v>397</v>
      </c>
      <c r="V30" s="6" t="s">
        <v>2208</v>
      </c>
      <c r="W30" s="4" t="s">
        <v>398</v>
      </c>
      <c r="Y30" s="432" t="s">
        <v>382</v>
      </c>
      <c r="Z30" s="433">
        <v>0.16</v>
      </c>
      <c r="AA30" s="434" t="s">
        <v>399</v>
      </c>
      <c r="AB30" s="435" t="s">
        <v>400</v>
      </c>
      <c r="AC30" s="456" t="str">
        <f t="shared" si="0"/>
        <v>神奈川県横浜市</v>
      </c>
      <c r="AD30" s="457">
        <v>11.12</v>
      </c>
      <c r="AE30" s="435">
        <v>10.88</v>
      </c>
      <c r="AF30" s="456">
        <v>10.72</v>
      </c>
      <c r="AG30" s="432" t="s">
        <v>401</v>
      </c>
      <c r="AH30" s="433">
        <v>0.45</v>
      </c>
      <c r="AI30" s="33"/>
      <c r="AJ30" s="1"/>
      <c r="AK30" s="1"/>
      <c r="AL30" s="1"/>
      <c r="AM30" s="1"/>
      <c r="AN30" s="1"/>
      <c r="AO30" s="272" t="s">
        <v>2325</v>
      </c>
      <c r="AP30" s="273" t="s">
        <v>2344</v>
      </c>
      <c r="AQ30" s="374"/>
      <c r="AR30" s="269" t="s">
        <v>2321</v>
      </c>
      <c r="AS30" s="269" t="s">
        <v>2434</v>
      </c>
      <c r="AT30" s="270" t="s">
        <v>2359</v>
      </c>
      <c r="AU30" s="493"/>
      <c r="AV30" s="493"/>
      <c r="AX30" s="10" t="s">
        <v>2325</v>
      </c>
      <c r="AY30" s="10" t="s">
        <v>2383</v>
      </c>
      <c r="AZ30" s="359" t="s">
        <v>2387</v>
      </c>
      <c r="BA30" s="518" t="s">
        <v>2462</v>
      </c>
      <c r="BB30" s="84" t="s">
        <v>2388</v>
      </c>
      <c r="BC30" s="360"/>
      <c r="BD30" s="497"/>
    </row>
    <row r="31" spans="1:58" ht="68.25" thickBot="1">
      <c r="A31" s="10" t="s">
        <v>2325</v>
      </c>
      <c r="B31" s="279" t="s">
        <v>2326</v>
      </c>
      <c r="C31" s="400">
        <v>0.21100000000000002</v>
      </c>
      <c r="D31" s="400">
        <v>0.20700000000000002</v>
      </c>
      <c r="E31" s="400">
        <v>0.16800000000000001</v>
      </c>
      <c r="F31" s="400">
        <v>0.14099999999999999</v>
      </c>
      <c r="G31" s="400">
        <v>0.30499999999999999</v>
      </c>
      <c r="H31" s="400">
        <v>0.32</v>
      </c>
      <c r="I31" s="400">
        <v>0.30099999999999999</v>
      </c>
      <c r="J31" s="400">
        <v>0.316</v>
      </c>
      <c r="K31" s="400">
        <v>0.26200000000000001</v>
      </c>
      <c r="L31" s="400">
        <v>0.23499999999999999</v>
      </c>
      <c r="M31" s="410"/>
      <c r="N31" s="317" t="s">
        <v>279</v>
      </c>
      <c r="O31" s="88" t="s">
        <v>286</v>
      </c>
      <c r="P31" s="33"/>
      <c r="Q31" s="33"/>
      <c r="R31" s="33"/>
      <c r="S31" s="33"/>
      <c r="T31" s="4" t="s">
        <v>402</v>
      </c>
      <c r="V31" s="6" t="s">
        <v>2208</v>
      </c>
      <c r="W31" s="4" t="s">
        <v>403</v>
      </c>
      <c r="Y31" s="432" t="s">
        <v>382</v>
      </c>
      <c r="Z31" s="433">
        <v>0.16</v>
      </c>
      <c r="AA31" s="434" t="s">
        <v>399</v>
      </c>
      <c r="AB31" s="435" t="s">
        <v>404</v>
      </c>
      <c r="AC31" s="456" t="str">
        <f t="shared" si="0"/>
        <v>神奈川県川崎市</v>
      </c>
      <c r="AD31" s="457">
        <v>11.12</v>
      </c>
      <c r="AE31" s="435">
        <v>10.88</v>
      </c>
      <c r="AF31" s="456">
        <v>10.72</v>
      </c>
      <c r="AG31" s="432" t="s">
        <v>405</v>
      </c>
      <c r="AH31" s="433">
        <v>0.55000000000000004</v>
      </c>
      <c r="AI31" s="33"/>
      <c r="AJ31" s="1"/>
      <c r="AK31" s="1"/>
      <c r="AL31" s="1"/>
      <c r="AM31" s="1"/>
      <c r="AN31" s="1"/>
      <c r="AO31" s="274" t="s">
        <v>2327</v>
      </c>
      <c r="AP31" s="273" t="s">
        <v>2344</v>
      </c>
      <c r="AQ31" s="374"/>
      <c r="AR31" s="269" t="s">
        <v>2323</v>
      </c>
      <c r="AS31" s="269" t="s">
        <v>2435</v>
      </c>
      <c r="AT31" s="270" t="s">
        <v>2359</v>
      </c>
      <c r="AU31" s="493"/>
      <c r="AV31" s="493"/>
      <c r="AX31" s="10" t="s">
        <v>2327</v>
      </c>
      <c r="AY31" s="10" t="s">
        <v>2384</v>
      </c>
      <c r="AZ31" s="359" t="s">
        <v>2387</v>
      </c>
      <c r="BA31" s="518" t="s">
        <v>2462</v>
      </c>
      <c r="BB31" s="84" t="s">
        <v>2388</v>
      </c>
      <c r="BC31" s="360"/>
      <c r="BD31" s="497"/>
    </row>
    <row r="32" spans="1:58" ht="68.25" thickBot="1">
      <c r="A32" s="10" t="s">
        <v>2327</v>
      </c>
      <c r="B32" s="279" t="s">
        <v>2328</v>
      </c>
      <c r="C32" s="402">
        <v>0.191</v>
      </c>
      <c r="D32" s="402">
        <v>0.187</v>
      </c>
      <c r="E32" s="402">
        <v>0.14799999999999999</v>
      </c>
      <c r="F32" s="402">
        <v>0.127</v>
      </c>
      <c r="G32" s="402">
        <v>0.28499999999999998</v>
      </c>
      <c r="H32" s="402">
        <v>0.3</v>
      </c>
      <c r="I32" s="402">
        <v>0.28100000000000003</v>
      </c>
      <c r="J32" s="402">
        <v>0.29599999999999999</v>
      </c>
      <c r="K32" s="402">
        <v>0.24199999999999999</v>
      </c>
      <c r="L32" s="402">
        <v>0.221</v>
      </c>
      <c r="M32" s="411"/>
      <c r="N32" s="317" t="s">
        <v>279</v>
      </c>
      <c r="O32" s="88" t="s">
        <v>286</v>
      </c>
      <c r="P32" s="33"/>
      <c r="Q32" s="33"/>
      <c r="R32" s="33"/>
      <c r="S32" s="33"/>
      <c r="T32" s="4" t="s">
        <v>406</v>
      </c>
      <c r="V32" s="6" t="s">
        <v>2208</v>
      </c>
      <c r="W32" s="4" t="s">
        <v>407</v>
      </c>
      <c r="Y32" s="458" t="s">
        <v>382</v>
      </c>
      <c r="Z32" s="459">
        <v>0.16</v>
      </c>
      <c r="AA32" s="460" t="s">
        <v>408</v>
      </c>
      <c r="AB32" s="461" t="s">
        <v>409</v>
      </c>
      <c r="AC32" s="462" t="str">
        <f t="shared" si="0"/>
        <v>大阪府大阪市</v>
      </c>
      <c r="AD32" s="463">
        <v>11.12</v>
      </c>
      <c r="AE32" s="444">
        <v>10.88</v>
      </c>
      <c r="AF32" s="464">
        <v>10.72</v>
      </c>
      <c r="AG32" s="432" t="s">
        <v>410</v>
      </c>
      <c r="AH32" s="433">
        <v>0.55000000000000004</v>
      </c>
      <c r="AI32" s="33"/>
      <c r="AJ32" s="1"/>
      <c r="AK32" s="1"/>
      <c r="AL32" s="1"/>
      <c r="AM32" s="1"/>
      <c r="AN32" s="1"/>
      <c r="AO32" s="272" t="s">
        <v>2354</v>
      </c>
      <c r="AP32" s="273" t="s">
        <v>2344</v>
      </c>
      <c r="AQ32" s="374"/>
      <c r="AR32" s="269" t="s">
        <v>2325</v>
      </c>
      <c r="AS32" s="269" t="s">
        <v>2436</v>
      </c>
      <c r="AT32" s="270" t="s">
        <v>2360</v>
      </c>
      <c r="AU32" s="493"/>
      <c r="AV32" s="493"/>
      <c r="AX32" s="10" t="s">
        <v>2329</v>
      </c>
      <c r="AY32" s="10" t="s">
        <v>2487</v>
      </c>
      <c r="AZ32" s="359" t="s">
        <v>2387</v>
      </c>
      <c r="BA32" s="518" t="s">
        <v>2462</v>
      </c>
      <c r="BB32" s="84" t="s">
        <v>2388</v>
      </c>
      <c r="BC32" s="360"/>
      <c r="BD32" s="497"/>
    </row>
    <row r="33" spans="1:56" ht="69" thickTop="1" thickBot="1">
      <c r="A33" s="597" t="s">
        <v>2329</v>
      </c>
      <c r="B33" s="279" t="s">
        <v>2284</v>
      </c>
      <c r="C33" s="403">
        <v>0.10100000000000001</v>
      </c>
      <c r="D33" s="404"/>
      <c r="E33" s="403">
        <v>8.4000000000000005E-2</v>
      </c>
      <c r="F33" s="403">
        <v>6.7000000000000004E-2</v>
      </c>
      <c r="G33" s="403">
        <v>0.113</v>
      </c>
      <c r="H33" s="403">
        <v>0.11700000000000001</v>
      </c>
      <c r="I33" s="404"/>
      <c r="J33" s="404"/>
      <c r="K33" s="403">
        <v>9.6000000000000002E-2</v>
      </c>
      <c r="L33" s="403">
        <v>7.9000000000000001E-2</v>
      </c>
      <c r="M33" s="411"/>
      <c r="N33" s="317" t="s">
        <v>279</v>
      </c>
      <c r="O33" s="88" t="s">
        <v>303</v>
      </c>
      <c r="P33" s="33"/>
      <c r="Q33" s="33"/>
      <c r="R33" s="33"/>
      <c r="S33" s="33"/>
      <c r="T33" s="4" t="s">
        <v>411</v>
      </c>
      <c r="V33" s="6" t="s">
        <v>2208</v>
      </c>
      <c r="W33" s="4" t="s">
        <v>412</v>
      </c>
      <c r="Y33" s="424" t="s">
        <v>413</v>
      </c>
      <c r="Z33" s="425">
        <v>0.15</v>
      </c>
      <c r="AA33" s="426" t="s">
        <v>414</v>
      </c>
      <c r="AB33" s="427" t="s">
        <v>415</v>
      </c>
      <c r="AC33" s="428" t="str">
        <f t="shared" si="0"/>
        <v>埼玉県さいたま市</v>
      </c>
      <c r="AD33" s="454">
        <v>11.05</v>
      </c>
      <c r="AE33" s="427">
        <v>10.83</v>
      </c>
      <c r="AF33" s="455">
        <v>10.68</v>
      </c>
      <c r="AG33" s="432" t="s">
        <v>416</v>
      </c>
      <c r="AH33" s="433">
        <v>0.45</v>
      </c>
      <c r="AJ33" s="1"/>
      <c r="AK33" s="1"/>
      <c r="AL33" s="1"/>
      <c r="AM33" s="1"/>
      <c r="AN33" s="1"/>
      <c r="AO33" s="272" t="s">
        <v>2330</v>
      </c>
      <c r="AP33" s="273" t="s">
        <v>2344</v>
      </c>
      <c r="AQ33" s="374"/>
      <c r="AR33" s="4" t="s">
        <v>2327</v>
      </c>
      <c r="AS33" s="4" t="s">
        <v>2437</v>
      </c>
      <c r="AT33" s="270" t="s">
        <v>2360</v>
      </c>
      <c r="AU33" s="493"/>
      <c r="AV33" s="494"/>
      <c r="AX33" s="10" t="s">
        <v>2330</v>
      </c>
      <c r="AY33" s="10" t="s">
        <v>2488</v>
      </c>
      <c r="AZ33" s="359" t="s">
        <v>2387</v>
      </c>
      <c r="BA33" s="518" t="s">
        <v>2462</v>
      </c>
      <c r="BB33" s="84" t="s">
        <v>2388</v>
      </c>
      <c r="BC33" s="360"/>
      <c r="BD33" s="497"/>
    </row>
    <row r="34" spans="1:56" ht="68.25" thickBot="1">
      <c r="A34" s="597" t="s">
        <v>2513</v>
      </c>
      <c r="B34" s="279" t="s">
        <v>2292</v>
      </c>
      <c r="C34" s="400">
        <v>0.125</v>
      </c>
      <c r="D34" s="401"/>
      <c r="E34" s="400">
        <v>9.9000000000000005E-2</v>
      </c>
      <c r="F34" s="400">
        <v>8.1000000000000003E-2</v>
      </c>
      <c r="G34" s="400">
        <v>0.151</v>
      </c>
      <c r="H34" s="400">
        <v>0.158</v>
      </c>
      <c r="I34" s="401"/>
      <c r="J34" s="401"/>
      <c r="K34" s="400">
        <v>0.125</v>
      </c>
      <c r="L34" s="400">
        <v>0.107</v>
      </c>
      <c r="M34" s="411"/>
      <c r="N34" s="317" t="s">
        <v>279</v>
      </c>
      <c r="O34" s="88" t="s">
        <v>286</v>
      </c>
      <c r="P34" s="33"/>
      <c r="Q34" s="33"/>
      <c r="R34" s="33"/>
      <c r="S34" s="33"/>
      <c r="T34" s="4" t="s">
        <v>417</v>
      </c>
      <c r="V34" s="6" t="s">
        <v>2208</v>
      </c>
      <c r="W34" s="4" t="s">
        <v>418</v>
      </c>
      <c r="Y34" s="432" t="s">
        <v>413</v>
      </c>
      <c r="Z34" s="433">
        <v>0.15</v>
      </c>
      <c r="AA34" s="434" t="s">
        <v>419</v>
      </c>
      <c r="AB34" s="435" t="s">
        <v>420</v>
      </c>
      <c r="AC34" s="436" t="str">
        <f t="shared" si="0"/>
        <v>千葉県千葉市</v>
      </c>
      <c r="AD34" s="457">
        <v>11.05</v>
      </c>
      <c r="AE34" s="435">
        <v>10.83</v>
      </c>
      <c r="AF34" s="456">
        <v>10.68</v>
      </c>
      <c r="AG34" s="432" t="s">
        <v>421</v>
      </c>
      <c r="AH34" s="433">
        <v>0.45</v>
      </c>
      <c r="AJ34" s="1"/>
      <c r="AK34" s="1"/>
      <c r="AL34" s="1"/>
      <c r="AM34" s="1"/>
      <c r="AN34" s="1"/>
      <c r="AO34" s="272" t="s">
        <v>2331</v>
      </c>
      <c r="AP34" s="273" t="s">
        <v>2344</v>
      </c>
      <c r="AQ34" s="374"/>
      <c r="AR34" s="269" t="s">
        <v>2354</v>
      </c>
      <c r="AS34" s="269" t="s">
        <v>2493</v>
      </c>
      <c r="AT34" s="270" t="s">
        <v>2359</v>
      </c>
      <c r="AU34" s="493"/>
      <c r="AV34" s="493"/>
      <c r="AX34" s="10" t="s">
        <v>2331</v>
      </c>
      <c r="AY34" s="10" t="s">
        <v>2489</v>
      </c>
      <c r="AZ34" s="359" t="s">
        <v>2387</v>
      </c>
      <c r="BA34" s="518" t="s">
        <v>2462</v>
      </c>
      <c r="BB34" s="84" t="s">
        <v>2388</v>
      </c>
      <c r="BC34" s="360"/>
      <c r="BD34" s="497"/>
    </row>
    <row r="35" spans="1:56" ht="68.25" thickBot="1">
      <c r="A35" s="597" t="s">
        <v>2514</v>
      </c>
      <c r="B35" s="279" t="s">
        <v>2294</v>
      </c>
      <c r="C35" s="400">
        <v>0.125</v>
      </c>
      <c r="D35" s="401"/>
      <c r="E35" s="400">
        <v>9.9000000000000005E-2</v>
      </c>
      <c r="F35" s="400">
        <v>8.1000000000000003E-2</v>
      </c>
      <c r="G35" s="400">
        <v>0.151</v>
      </c>
      <c r="H35" s="400">
        <v>0.158</v>
      </c>
      <c r="I35" s="401"/>
      <c r="J35" s="401"/>
      <c r="K35" s="400">
        <v>0.125</v>
      </c>
      <c r="L35" s="400">
        <v>0.107</v>
      </c>
      <c r="M35" s="410"/>
      <c r="N35" s="317" t="s">
        <v>279</v>
      </c>
      <c r="O35" s="88" t="s">
        <v>286</v>
      </c>
      <c r="P35" s="33"/>
      <c r="Q35" s="33"/>
      <c r="R35" s="33"/>
      <c r="S35" s="33"/>
      <c r="T35" s="4" t="s">
        <v>422</v>
      </c>
      <c r="V35" s="6" t="s">
        <v>2208</v>
      </c>
      <c r="W35" s="4" t="s">
        <v>423</v>
      </c>
      <c r="Y35" s="432" t="s">
        <v>413</v>
      </c>
      <c r="Z35" s="433">
        <v>0.15</v>
      </c>
      <c r="AA35" s="434" t="s">
        <v>419</v>
      </c>
      <c r="AB35" s="435" t="s">
        <v>424</v>
      </c>
      <c r="AC35" s="436" t="str">
        <f t="shared" si="0"/>
        <v>千葉県浦安市</v>
      </c>
      <c r="AD35" s="457">
        <v>11.05</v>
      </c>
      <c r="AE35" s="435">
        <v>10.83</v>
      </c>
      <c r="AF35" s="456">
        <v>10.68</v>
      </c>
      <c r="AG35" s="432" t="s">
        <v>425</v>
      </c>
      <c r="AH35" s="433">
        <v>0.45</v>
      </c>
      <c r="AJ35" s="1"/>
      <c r="AK35" s="1"/>
      <c r="AL35" s="1"/>
      <c r="AM35" s="1"/>
      <c r="AN35" s="1"/>
      <c r="AO35" s="274" t="s">
        <v>2332</v>
      </c>
      <c r="AP35" s="273" t="s">
        <v>2344</v>
      </c>
      <c r="AQ35" s="374"/>
      <c r="AR35" s="269" t="s">
        <v>2330</v>
      </c>
      <c r="AS35" s="269" t="s">
        <v>2494</v>
      </c>
      <c r="AT35" s="270" t="s">
        <v>2359</v>
      </c>
      <c r="AU35" s="493"/>
      <c r="AV35" s="493"/>
      <c r="AX35" s="10" t="s">
        <v>2332</v>
      </c>
      <c r="AY35" s="10" t="s">
        <v>2490</v>
      </c>
      <c r="AZ35" s="359" t="s">
        <v>2387</v>
      </c>
      <c r="BA35" s="518" t="s">
        <v>2462</v>
      </c>
      <c r="BB35" s="84" t="s">
        <v>2388</v>
      </c>
      <c r="BC35" s="360"/>
      <c r="BD35" s="497"/>
    </row>
    <row r="36" spans="1:56" ht="68.25" thickBot="1">
      <c r="A36" s="597" t="s">
        <v>2515</v>
      </c>
      <c r="B36" s="279" t="s">
        <v>2300</v>
      </c>
      <c r="C36" s="400">
        <v>0.107</v>
      </c>
      <c r="D36" s="401"/>
      <c r="E36" s="400">
        <v>8.8999999999999996E-2</v>
      </c>
      <c r="F36" s="400">
        <v>7.0999999999999994E-2</v>
      </c>
      <c r="G36" s="400">
        <v>0.11899999999999999</v>
      </c>
      <c r="H36" s="400">
        <v>0.123</v>
      </c>
      <c r="I36" s="401"/>
      <c r="J36" s="401"/>
      <c r="K36" s="400">
        <v>0.10100000000000001</v>
      </c>
      <c r="L36" s="400">
        <v>8.3000000000000004E-2</v>
      </c>
      <c r="M36" s="410"/>
      <c r="N36" s="317" t="s">
        <v>279</v>
      </c>
      <c r="O36" s="88" t="s">
        <v>303</v>
      </c>
      <c r="P36" s="33"/>
      <c r="Q36" s="33"/>
      <c r="R36" s="33"/>
      <c r="S36" s="33"/>
      <c r="T36" s="4" t="s">
        <v>426</v>
      </c>
      <c r="V36" s="6" t="s">
        <v>2208</v>
      </c>
      <c r="W36" s="4" t="s">
        <v>427</v>
      </c>
      <c r="Y36" s="432" t="s">
        <v>413</v>
      </c>
      <c r="Z36" s="433">
        <v>0.15</v>
      </c>
      <c r="AA36" s="434" t="s">
        <v>42</v>
      </c>
      <c r="AB36" s="435" t="s">
        <v>428</v>
      </c>
      <c r="AC36" s="436" t="str">
        <f t="shared" si="0"/>
        <v>東京都八王子市</v>
      </c>
      <c r="AD36" s="457">
        <v>11.05</v>
      </c>
      <c r="AE36" s="435">
        <v>10.83</v>
      </c>
      <c r="AF36" s="456">
        <v>10.68</v>
      </c>
      <c r="AG36" s="440" t="s">
        <v>429</v>
      </c>
      <c r="AH36" s="433">
        <v>0.45</v>
      </c>
      <c r="AJ36" s="1"/>
      <c r="AK36" s="1"/>
      <c r="AL36" s="1"/>
      <c r="AM36" s="1"/>
      <c r="AN36" s="1"/>
      <c r="AO36" s="272" t="s">
        <v>2333</v>
      </c>
      <c r="AP36" s="273" t="s">
        <v>2344</v>
      </c>
      <c r="AQ36" s="374"/>
      <c r="AR36" s="269" t="s">
        <v>2331</v>
      </c>
      <c r="AS36" s="269" t="s">
        <v>2495</v>
      </c>
      <c r="AT36" s="270" t="s">
        <v>2359</v>
      </c>
      <c r="AU36" s="493"/>
      <c r="AV36" s="493"/>
      <c r="AX36" s="10" t="s">
        <v>2333</v>
      </c>
      <c r="AY36" s="10" t="s">
        <v>2491</v>
      </c>
      <c r="AZ36" s="359" t="s">
        <v>2387</v>
      </c>
      <c r="BA36" s="518" t="s">
        <v>2462</v>
      </c>
      <c r="BB36" s="84" t="s">
        <v>2388</v>
      </c>
      <c r="BC36" s="360"/>
      <c r="BD36" s="497"/>
    </row>
    <row r="37" spans="1:56" ht="68.25" thickBot="1">
      <c r="A37" s="597" t="s">
        <v>2516</v>
      </c>
      <c r="B37" s="279" t="s">
        <v>2304</v>
      </c>
      <c r="C37" s="400">
        <v>0.105</v>
      </c>
      <c r="D37" s="401"/>
      <c r="E37" s="400">
        <v>8.6999999999999994E-2</v>
      </c>
      <c r="F37" s="400">
        <v>6.8999999999999992E-2</v>
      </c>
      <c r="G37" s="400">
        <v>0.11700000000000001</v>
      </c>
      <c r="H37" s="400">
        <v>0.121</v>
      </c>
      <c r="I37" s="401"/>
      <c r="J37" s="401"/>
      <c r="K37" s="400">
        <v>9.9000000000000005E-2</v>
      </c>
      <c r="L37" s="400">
        <v>8.1000000000000003E-2</v>
      </c>
      <c r="M37" s="411"/>
      <c r="N37" s="317" t="s">
        <v>279</v>
      </c>
      <c r="O37" s="88" t="s">
        <v>286</v>
      </c>
      <c r="P37" s="33"/>
      <c r="Q37" s="33"/>
      <c r="R37" s="33"/>
      <c r="S37" s="33"/>
      <c r="T37" s="4" t="s">
        <v>430</v>
      </c>
      <c r="V37" s="6" t="s">
        <v>2208</v>
      </c>
      <c r="W37" s="4" t="s">
        <v>431</v>
      </c>
      <c r="Y37" s="432" t="s">
        <v>413</v>
      </c>
      <c r="Z37" s="433">
        <v>0.15</v>
      </c>
      <c r="AA37" s="434" t="s">
        <v>42</v>
      </c>
      <c r="AB37" s="435" t="s">
        <v>432</v>
      </c>
      <c r="AC37" s="436" t="str">
        <f t="shared" si="0"/>
        <v>東京都武蔵野市</v>
      </c>
      <c r="AD37" s="457">
        <v>11.05</v>
      </c>
      <c r="AE37" s="435">
        <v>10.83</v>
      </c>
      <c r="AF37" s="456">
        <v>10.68</v>
      </c>
      <c r="AG37" s="440" t="s">
        <v>433</v>
      </c>
      <c r="AH37" s="433">
        <v>0.45</v>
      </c>
      <c r="AJ37" s="1"/>
      <c r="AK37" s="1"/>
      <c r="AL37" s="1"/>
      <c r="AM37" s="1"/>
      <c r="AN37" s="1"/>
      <c r="AO37" s="487" t="s">
        <v>2334</v>
      </c>
      <c r="AP37" s="488" t="s">
        <v>2344</v>
      </c>
      <c r="AQ37" s="374"/>
      <c r="AR37" s="4" t="s">
        <v>2332</v>
      </c>
      <c r="AS37" s="4" t="s">
        <v>2496</v>
      </c>
      <c r="AT37" s="270" t="s">
        <v>2359</v>
      </c>
      <c r="AU37" s="493"/>
      <c r="AV37" s="493"/>
      <c r="AX37" s="10" t="s">
        <v>2334</v>
      </c>
      <c r="AY37" s="10" t="s">
        <v>2492</v>
      </c>
      <c r="AZ37" s="359" t="s">
        <v>2387</v>
      </c>
      <c r="BA37" s="518" t="s">
        <v>2462</v>
      </c>
      <c r="BB37" s="84" t="s">
        <v>2388</v>
      </c>
      <c r="BC37" s="360"/>
      <c r="BD37" s="497"/>
    </row>
    <row r="38" spans="1:56" ht="24.75" thickBot="1">
      <c r="A38" s="597" t="s">
        <v>2517</v>
      </c>
      <c r="B38" s="279" t="s">
        <v>2306</v>
      </c>
      <c r="C38" s="400">
        <v>0.104</v>
      </c>
      <c r="D38" s="401"/>
      <c r="E38" s="400">
        <v>8.5999999999999993E-2</v>
      </c>
      <c r="F38" s="400">
        <v>6.8999999999999992E-2</v>
      </c>
      <c r="G38" s="400">
        <v>0.11600000000000001</v>
      </c>
      <c r="H38" s="400">
        <v>0.12</v>
      </c>
      <c r="I38" s="401"/>
      <c r="J38" s="401"/>
      <c r="K38" s="400">
        <v>9.8000000000000004E-2</v>
      </c>
      <c r="L38" s="400">
        <v>8.1000000000000003E-2</v>
      </c>
      <c r="M38" s="411"/>
      <c r="N38" s="317" t="s">
        <v>279</v>
      </c>
      <c r="O38" s="88" t="s">
        <v>303</v>
      </c>
      <c r="P38" s="33"/>
      <c r="Q38" s="33"/>
      <c r="R38" s="33"/>
      <c r="S38" s="33"/>
      <c r="T38" s="4" t="s">
        <v>434</v>
      </c>
      <c r="V38" s="6" t="s">
        <v>2208</v>
      </c>
      <c r="W38" s="4" t="s">
        <v>435</v>
      </c>
      <c r="Y38" s="432" t="s">
        <v>413</v>
      </c>
      <c r="Z38" s="433">
        <v>0.15</v>
      </c>
      <c r="AA38" s="434" t="s">
        <v>42</v>
      </c>
      <c r="AB38" s="435" t="s">
        <v>436</v>
      </c>
      <c r="AC38" s="436" t="str">
        <f t="shared" si="0"/>
        <v>東京都三鷹市</v>
      </c>
      <c r="AD38" s="457">
        <v>11.05</v>
      </c>
      <c r="AE38" s="435">
        <v>10.83</v>
      </c>
      <c r="AF38" s="456">
        <v>10.68</v>
      </c>
      <c r="AG38" s="432" t="s">
        <v>437</v>
      </c>
      <c r="AH38" s="433">
        <v>0.45</v>
      </c>
      <c r="AJ38" s="1"/>
      <c r="AK38" s="1"/>
      <c r="AL38" s="1"/>
      <c r="AM38" s="1"/>
      <c r="AN38" s="1"/>
      <c r="AO38" s="490"/>
      <c r="AP38" s="491"/>
      <c r="AQ38" s="374"/>
      <c r="AR38" s="269" t="s">
        <v>2333</v>
      </c>
      <c r="AS38" s="269" t="s">
        <v>2497</v>
      </c>
      <c r="AT38" s="270" t="s">
        <v>2359</v>
      </c>
      <c r="AU38" s="493"/>
      <c r="AV38" s="494"/>
      <c r="AX38" s="91" t="s">
        <v>2335</v>
      </c>
      <c r="AY38" s="91" t="s">
        <v>2385</v>
      </c>
      <c r="AZ38" s="359" t="s">
        <v>2389</v>
      </c>
      <c r="BA38" s="83" t="s">
        <v>2463</v>
      </c>
      <c r="BB38" s="83" t="s">
        <v>475</v>
      </c>
      <c r="BC38" s="26"/>
      <c r="BD38" s="26"/>
    </row>
    <row r="39" spans="1:56" ht="24.75" thickBot="1">
      <c r="A39" s="91" t="s">
        <v>2335</v>
      </c>
      <c r="B39" s="279" t="s">
        <v>2336</v>
      </c>
      <c r="C39" s="396"/>
      <c r="D39" s="397"/>
      <c r="E39" s="397"/>
      <c r="F39" s="397"/>
      <c r="G39" s="405"/>
      <c r="H39" s="405"/>
      <c r="I39" s="405"/>
      <c r="J39" s="405"/>
      <c r="K39" s="405"/>
      <c r="L39" s="405"/>
      <c r="M39" s="358">
        <v>5.0999999999999997E-2</v>
      </c>
      <c r="N39" s="317" t="s">
        <v>2343</v>
      </c>
      <c r="O39" s="88" t="s">
        <v>286</v>
      </c>
      <c r="P39" s="33"/>
      <c r="Q39" s="33"/>
      <c r="R39" s="33"/>
      <c r="S39" s="33"/>
      <c r="T39" s="4" t="s">
        <v>438</v>
      </c>
      <c r="V39" s="6" t="s">
        <v>2208</v>
      </c>
      <c r="W39" s="4" t="s">
        <v>439</v>
      </c>
      <c r="Y39" s="432" t="s">
        <v>413</v>
      </c>
      <c r="Z39" s="433">
        <v>0.15</v>
      </c>
      <c r="AA39" s="434" t="s">
        <v>42</v>
      </c>
      <c r="AB39" s="435" t="s">
        <v>440</v>
      </c>
      <c r="AC39" s="436" t="str">
        <f t="shared" si="0"/>
        <v>東京都青梅市</v>
      </c>
      <c r="AD39" s="457">
        <v>11.05</v>
      </c>
      <c r="AE39" s="435">
        <v>10.83</v>
      </c>
      <c r="AF39" s="456">
        <v>10.68</v>
      </c>
      <c r="AG39" s="458" t="s">
        <v>441</v>
      </c>
      <c r="AH39" s="459">
        <v>0.45</v>
      </c>
      <c r="AJ39" s="1"/>
      <c r="AK39" s="1"/>
      <c r="AL39" s="1"/>
      <c r="AM39" s="1"/>
      <c r="AN39" s="1"/>
      <c r="AO39" s="489"/>
      <c r="AP39" s="374"/>
      <c r="AQ39" s="374"/>
      <c r="AR39" s="269" t="s">
        <v>2334</v>
      </c>
      <c r="AS39" s="269" t="s">
        <v>2498</v>
      </c>
      <c r="AT39" s="270" t="s">
        <v>2359</v>
      </c>
      <c r="AU39" s="493"/>
      <c r="AV39" s="493"/>
      <c r="AX39" s="79" t="s">
        <v>2337</v>
      </c>
      <c r="AY39" s="79" t="s">
        <v>2447</v>
      </c>
      <c r="AZ39" s="359" t="s">
        <v>2389</v>
      </c>
      <c r="BA39" s="83" t="s">
        <v>2463</v>
      </c>
      <c r="BB39" s="83" t="s">
        <v>475</v>
      </c>
      <c r="BC39" s="26"/>
      <c r="BD39" s="26"/>
    </row>
    <row r="40" spans="1:56" ht="24.75" thickBot="1">
      <c r="A40" s="79" t="s">
        <v>2337</v>
      </c>
      <c r="B40" s="278" t="s">
        <v>2338</v>
      </c>
      <c r="C40" s="396"/>
      <c r="D40" s="397"/>
      <c r="E40" s="397"/>
      <c r="F40" s="397"/>
      <c r="G40" s="405"/>
      <c r="H40" s="405"/>
      <c r="I40" s="405"/>
      <c r="J40" s="405"/>
      <c r="K40" s="405"/>
      <c r="L40" s="405"/>
      <c r="M40" s="358">
        <v>5.0999999999999997E-2</v>
      </c>
      <c r="N40" s="317" t="s">
        <v>2343</v>
      </c>
      <c r="O40" s="88" t="s">
        <v>286</v>
      </c>
      <c r="P40" s="33"/>
      <c r="Q40" s="33"/>
      <c r="R40" s="33"/>
      <c r="S40" s="33"/>
      <c r="T40" s="4" t="s">
        <v>442</v>
      </c>
      <c r="V40" s="6" t="s">
        <v>2208</v>
      </c>
      <c r="W40" s="4" t="s">
        <v>443</v>
      </c>
      <c r="Y40" s="432" t="s">
        <v>413</v>
      </c>
      <c r="Z40" s="433">
        <v>0.15</v>
      </c>
      <c r="AA40" s="434" t="s">
        <v>42</v>
      </c>
      <c r="AB40" s="435" t="s">
        <v>444</v>
      </c>
      <c r="AC40" s="436" t="str">
        <f t="shared" si="0"/>
        <v>東京都府中市</v>
      </c>
      <c r="AD40" s="457">
        <v>11.05</v>
      </c>
      <c r="AE40" s="435">
        <v>10.83</v>
      </c>
      <c r="AF40" s="436">
        <v>10.68</v>
      </c>
      <c r="AG40" s="458" t="s">
        <v>445</v>
      </c>
      <c r="AH40" s="459">
        <v>0.45</v>
      </c>
      <c r="AJ40" s="1"/>
      <c r="AK40" s="1"/>
      <c r="AL40" s="1"/>
      <c r="AM40" s="1"/>
      <c r="AN40" s="1"/>
      <c r="AO40" s="489"/>
      <c r="AP40" s="374"/>
      <c r="AQ40" s="374"/>
      <c r="AR40" s="489"/>
      <c r="AS40" s="489"/>
      <c r="AT40" s="493"/>
      <c r="AU40" s="493"/>
      <c r="AV40" s="493"/>
      <c r="AX40" s="362" t="s">
        <v>2339</v>
      </c>
      <c r="AY40" s="362" t="s">
        <v>2446</v>
      </c>
      <c r="AZ40" s="359" t="s">
        <v>2389</v>
      </c>
      <c r="BA40" s="83" t="s">
        <v>2463</v>
      </c>
      <c r="BB40" s="83" t="s">
        <v>475</v>
      </c>
      <c r="BC40" s="26"/>
      <c r="BD40" s="26"/>
    </row>
    <row r="41" spans="1:56" ht="24.75" thickBot="1">
      <c r="A41" s="362" t="s">
        <v>2339</v>
      </c>
      <c r="B41" s="363" t="s">
        <v>2340</v>
      </c>
      <c r="C41" s="396"/>
      <c r="D41" s="397"/>
      <c r="E41" s="397"/>
      <c r="F41" s="397"/>
      <c r="G41" s="406"/>
      <c r="H41" s="406"/>
      <c r="I41" s="406"/>
      <c r="J41" s="406"/>
      <c r="K41" s="406"/>
      <c r="L41" s="406"/>
      <c r="M41" s="358">
        <v>5.0999999999999997E-2</v>
      </c>
      <c r="N41" s="317" t="s">
        <v>2343</v>
      </c>
      <c r="O41" s="92" t="s">
        <v>303</v>
      </c>
      <c r="P41" s="33"/>
      <c r="Q41" s="33"/>
      <c r="R41" s="33"/>
      <c r="S41" s="33"/>
      <c r="T41" s="4" t="s">
        <v>446</v>
      </c>
      <c r="V41" s="6" t="s">
        <v>2208</v>
      </c>
      <c r="W41" s="4" t="s">
        <v>447</v>
      </c>
      <c r="Y41" s="432" t="s">
        <v>413</v>
      </c>
      <c r="Z41" s="433">
        <v>0.15</v>
      </c>
      <c r="AA41" s="434" t="s">
        <v>42</v>
      </c>
      <c r="AB41" s="435" t="s">
        <v>448</v>
      </c>
      <c r="AC41" s="436" t="str">
        <f t="shared" si="0"/>
        <v>東京都小金井市</v>
      </c>
      <c r="AD41" s="457">
        <v>11.05</v>
      </c>
      <c r="AE41" s="435">
        <v>10.83</v>
      </c>
      <c r="AF41" s="436">
        <v>10.68</v>
      </c>
      <c r="AG41" s="465" t="s">
        <v>449</v>
      </c>
      <c r="AH41" s="466">
        <v>0.7</v>
      </c>
      <c r="AJ41" s="1"/>
      <c r="AK41" s="1"/>
      <c r="AL41" s="1"/>
      <c r="AM41" s="1"/>
      <c r="AN41" s="1"/>
      <c r="AO41" s="86"/>
      <c r="AP41" s="374"/>
      <c r="AQ41" s="374"/>
      <c r="AR41" s="86"/>
      <c r="AS41" s="489"/>
      <c r="AT41" s="496"/>
      <c r="AU41" s="495"/>
      <c r="AV41" s="494"/>
      <c r="AX41" s="394" t="s">
        <v>2341</v>
      </c>
      <c r="AY41" s="394" t="s">
        <v>2386</v>
      </c>
      <c r="AZ41" s="359" t="s">
        <v>2389</v>
      </c>
      <c r="BA41" s="83" t="s">
        <v>2463</v>
      </c>
      <c r="BB41" s="83" t="s">
        <v>475</v>
      </c>
      <c r="BC41" s="26"/>
      <c r="BD41" s="26"/>
    </row>
    <row r="42" spans="1:56" ht="15" thickBot="1">
      <c r="A42" s="394" t="s">
        <v>2341</v>
      </c>
      <c r="B42" s="395" t="s">
        <v>2342</v>
      </c>
      <c r="C42" s="398"/>
      <c r="D42" s="399"/>
      <c r="E42" s="399"/>
      <c r="F42" s="399"/>
      <c r="G42" s="407"/>
      <c r="H42" s="407"/>
      <c r="I42" s="407"/>
      <c r="J42" s="407"/>
      <c r="K42" s="407"/>
      <c r="L42" s="407"/>
      <c r="M42" s="358">
        <v>5.0999999999999997E-2</v>
      </c>
      <c r="N42" s="317" t="s">
        <v>2343</v>
      </c>
      <c r="O42" s="89" t="s">
        <v>450</v>
      </c>
      <c r="P42" s="33"/>
      <c r="Q42" s="33"/>
      <c r="R42" s="33"/>
      <c r="S42" s="33"/>
      <c r="T42" s="4" t="s">
        <v>451</v>
      </c>
      <c r="V42" s="6" t="s">
        <v>2208</v>
      </c>
      <c r="W42" s="4" t="s">
        <v>452</v>
      </c>
      <c r="Y42" s="432" t="s">
        <v>413</v>
      </c>
      <c r="Z42" s="433">
        <v>0.15</v>
      </c>
      <c r="AA42" s="434" t="s">
        <v>42</v>
      </c>
      <c r="AB42" s="435" t="s">
        <v>453</v>
      </c>
      <c r="AC42" s="436" t="str">
        <f t="shared" si="0"/>
        <v>東京都小平市</v>
      </c>
      <c r="AD42" s="457">
        <v>11.05</v>
      </c>
      <c r="AE42" s="435">
        <v>10.83</v>
      </c>
      <c r="AF42" s="436">
        <v>10.68</v>
      </c>
      <c r="AG42" s="467" t="s">
        <v>454</v>
      </c>
      <c r="AH42" s="468">
        <v>0.7</v>
      </c>
      <c r="AJ42" s="1"/>
      <c r="AK42" s="1"/>
      <c r="AL42" s="1"/>
      <c r="AM42" s="1"/>
      <c r="AN42" s="1"/>
      <c r="AO42" s="86"/>
      <c r="AP42" s="374"/>
      <c r="AQ42" s="374"/>
      <c r="AR42" s="86"/>
      <c r="AS42" s="489"/>
      <c r="AT42" s="496"/>
      <c r="AU42" s="495"/>
      <c r="AV42" s="494"/>
      <c r="AX42" s="2"/>
      <c r="AY42" s="489"/>
      <c r="AZ42" s="277"/>
      <c r="BA42" s="277"/>
      <c r="BB42" s="277"/>
      <c r="BC42" s="277"/>
      <c r="BD42" s="497"/>
    </row>
    <row r="43" spans="1:56" ht="15" thickBot="1">
      <c r="A43" s="387"/>
      <c r="B43" s="388"/>
      <c r="C43" s="391"/>
      <c r="D43" s="391"/>
      <c r="E43" s="391"/>
      <c r="F43" s="391"/>
      <c r="G43" s="389"/>
      <c r="H43" s="389"/>
      <c r="I43" s="389"/>
      <c r="J43" s="389"/>
      <c r="K43" s="389"/>
      <c r="L43" s="389"/>
      <c r="M43" s="389"/>
      <c r="N43" s="386"/>
      <c r="O43" s="386"/>
      <c r="P43" s="33"/>
      <c r="Q43" s="33"/>
      <c r="R43" s="33"/>
      <c r="S43" s="33"/>
      <c r="T43" s="4" t="s">
        <v>455</v>
      </c>
      <c r="V43" s="6" t="s">
        <v>2208</v>
      </c>
      <c r="W43" s="4" t="s">
        <v>456</v>
      </c>
      <c r="Y43" s="432" t="s">
        <v>413</v>
      </c>
      <c r="Z43" s="433">
        <v>0.15</v>
      </c>
      <c r="AA43" s="434" t="s">
        <v>42</v>
      </c>
      <c r="AB43" s="435" t="s">
        <v>457</v>
      </c>
      <c r="AC43" s="436" t="str">
        <f t="shared" si="0"/>
        <v>東京都日野市</v>
      </c>
      <c r="AD43" s="457">
        <v>11.05</v>
      </c>
      <c r="AE43" s="435">
        <v>10.83</v>
      </c>
      <c r="AF43" s="436">
        <v>10.68</v>
      </c>
      <c r="AG43" s="467" t="s">
        <v>458</v>
      </c>
      <c r="AH43" s="468">
        <v>0.7</v>
      </c>
      <c r="AJ43" s="1"/>
      <c r="AK43" s="1"/>
      <c r="AL43" s="1"/>
      <c r="AM43" s="1"/>
      <c r="AN43" s="1"/>
      <c r="AO43" s="86"/>
      <c r="AP43" s="374"/>
      <c r="AQ43" s="374"/>
      <c r="AR43" s="86"/>
      <c r="AS43" s="489"/>
      <c r="AT43" s="496"/>
      <c r="AU43" s="495"/>
      <c r="AV43" s="494"/>
      <c r="AX43" s="2"/>
      <c r="AY43" s="489"/>
      <c r="AZ43" s="277"/>
      <c r="BA43" s="277"/>
      <c r="BB43" s="277"/>
      <c r="BC43" s="277"/>
      <c r="BD43" s="497"/>
    </row>
    <row r="44" spans="1:56" ht="15" thickBot="1">
      <c r="A44" s="2"/>
      <c r="B44" s="390"/>
      <c r="C44" s="391"/>
      <c r="D44" s="391"/>
      <c r="E44" s="391"/>
      <c r="F44" s="391"/>
      <c r="G44" s="392"/>
      <c r="H44" s="392"/>
      <c r="I44" s="392"/>
      <c r="J44" s="392"/>
      <c r="K44" s="392"/>
      <c r="L44" s="392"/>
      <c r="M44" s="392"/>
      <c r="N44" s="277"/>
      <c r="O44" s="277"/>
      <c r="P44" s="33"/>
      <c r="Q44" s="33"/>
      <c r="R44" s="33"/>
      <c r="S44" s="33"/>
      <c r="T44" s="4" t="s">
        <v>459</v>
      </c>
      <c r="V44" s="6" t="s">
        <v>2208</v>
      </c>
      <c r="W44" s="4" t="s">
        <v>460</v>
      </c>
      <c r="Y44" s="432" t="s">
        <v>413</v>
      </c>
      <c r="Z44" s="433">
        <v>0.15</v>
      </c>
      <c r="AA44" s="434" t="s">
        <v>42</v>
      </c>
      <c r="AB44" s="435" t="s">
        <v>461</v>
      </c>
      <c r="AC44" s="436" t="str">
        <f t="shared" si="0"/>
        <v>東京都東村山市</v>
      </c>
      <c r="AD44" s="457">
        <v>11.05</v>
      </c>
      <c r="AE44" s="435">
        <v>10.83</v>
      </c>
      <c r="AF44" s="436">
        <v>10.68</v>
      </c>
      <c r="AG44" s="467" t="s">
        <v>462</v>
      </c>
      <c r="AH44" s="433">
        <v>0.45</v>
      </c>
      <c r="AJ44" s="1"/>
      <c r="AK44" s="1"/>
      <c r="AL44" s="1"/>
      <c r="AM44" s="1"/>
      <c r="AN44" s="1"/>
      <c r="AO44" s="86"/>
      <c r="AP44" s="374"/>
      <c r="AQ44" s="374"/>
      <c r="AR44" s="86"/>
      <c r="AS44" s="489"/>
      <c r="AT44" s="495"/>
      <c r="AU44" s="495"/>
      <c r="AV44" s="495"/>
      <c r="AX44" s="2"/>
      <c r="AY44" s="489"/>
      <c r="AZ44" s="277"/>
      <c r="BA44" s="277"/>
      <c r="BB44" s="277"/>
      <c r="BC44" s="277"/>
      <c r="BD44" s="497"/>
    </row>
    <row r="45" spans="1:56" ht="24.75" thickBot="1">
      <c r="A45" s="2"/>
      <c r="B45" s="298" t="s">
        <v>182</v>
      </c>
      <c r="C45" s="299" t="s">
        <v>270</v>
      </c>
      <c r="D45" s="299" t="s">
        <v>196</v>
      </c>
      <c r="E45" s="511" t="s">
        <v>271</v>
      </c>
      <c r="F45" s="300"/>
      <c r="G45" s="392"/>
      <c r="H45" s="392"/>
      <c r="I45" s="392"/>
      <c r="J45" s="392"/>
      <c r="K45" s="392"/>
      <c r="L45" s="392"/>
      <c r="M45" s="392"/>
      <c r="N45" s="277"/>
      <c r="O45" s="277"/>
      <c r="P45" s="33"/>
      <c r="Q45" s="33"/>
      <c r="R45" s="33"/>
      <c r="S45" s="33"/>
      <c r="T45" s="4" t="s">
        <v>463</v>
      </c>
      <c r="V45" s="6" t="s">
        <v>2208</v>
      </c>
      <c r="W45" s="4" t="s">
        <v>464</v>
      </c>
      <c r="Y45" s="432" t="s">
        <v>413</v>
      </c>
      <c r="Z45" s="433">
        <v>0.15</v>
      </c>
      <c r="AA45" s="434" t="s">
        <v>42</v>
      </c>
      <c r="AB45" s="435" t="s">
        <v>465</v>
      </c>
      <c r="AC45" s="436" t="str">
        <f t="shared" si="0"/>
        <v>東京都国分寺市</v>
      </c>
      <c r="AD45" s="457">
        <v>11.05</v>
      </c>
      <c r="AE45" s="435">
        <v>10.83</v>
      </c>
      <c r="AF45" s="436">
        <v>10.68</v>
      </c>
      <c r="AG45" s="467" t="s">
        <v>466</v>
      </c>
      <c r="AH45" s="433">
        <v>0.45</v>
      </c>
      <c r="AJ45" s="1"/>
      <c r="AK45" s="1"/>
      <c r="AL45" s="1"/>
      <c r="AM45" s="1"/>
      <c r="AN45" s="1"/>
      <c r="AO45" s="86"/>
      <c r="AP45" s="374"/>
      <c r="AQ45" s="374"/>
      <c r="AR45" s="86"/>
      <c r="AS45" s="489"/>
      <c r="AT45" s="495"/>
      <c r="AU45" s="495"/>
      <c r="AV45" s="495"/>
      <c r="AX45" s="2"/>
      <c r="AY45" s="489"/>
      <c r="AZ45" s="277"/>
      <c r="BA45" s="277"/>
      <c r="BB45" s="277"/>
      <c r="BC45" s="277"/>
      <c r="BD45" s="497"/>
    </row>
    <row r="46" spans="1:56" ht="15" thickBot="1">
      <c r="A46" s="2"/>
      <c r="B46" s="390"/>
      <c r="C46" s="391"/>
      <c r="D46" s="391"/>
      <c r="E46" s="391"/>
      <c r="F46" s="391"/>
      <c r="G46" s="392"/>
      <c r="H46" s="392"/>
      <c r="I46" s="392"/>
      <c r="J46" s="392"/>
      <c r="K46" s="392"/>
      <c r="L46" s="392"/>
      <c r="M46" s="392"/>
      <c r="N46" s="277"/>
      <c r="O46" s="277"/>
      <c r="P46" s="33"/>
      <c r="Q46" s="33"/>
      <c r="R46" s="33"/>
      <c r="S46" s="33"/>
      <c r="T46" s="4" t="s">
        <v>467</v>
      </c>
      <c r="V46" s="6" t="s">
        <v>2208</v>
      </c>
      <c r="W46" s="4" t="s">
        <v>468</v>
      </c>
      <c r="Y46" s="432" t="s">
        <v>413</v>
      </c>
      <c r="Z46" s="433">
        <v>0.15</v>
      </c>
      <c r="AA46" s="434" t="s">
        <v>42</v>
      </c>
      <c r="AB46" s="435" t="s">
        <v>469</v>
      </c>
      <c r="AC46" s="436" t="str">
        <f t="shared" si="0"/>
        <v>東京都国立市</v>
      </c>
      <c r="AD46" s="457">
        <v>11.05</v>
      </c>
      <c r="AE46" s="435">
        <v>10.83</v>
      </c>
      <c r="AF46" s="436">
        <v>10.68</v>
      </c>
      <c r="AG46" s="467" t="s">
        <v>470</v>
      </c>
      <c r="AH46" s="433">
        <v>0.45</v>
      </c>
      <c r="AJ46" s="1"/>
      <c r="AK46" s="1"/>
      <c r="AL46" s="1"/>
      <c r="AM46" s="1"/>
      <c r="AN46" s="1"/>
      <c r="AO46" s="86"/>
      <c r="AP46" s="374"/>
      <c r="AQ46" s="374"/>
      <c r="AR46" s="86"/>
      <c r="AS46" s="489"/>
      <c r="AT46" s="495"/>
      <c r="AU46" s="495"/>
      <c r="AV46" s="495"/>
      <c r="AX46" s="2"/>
      <c r="AY46" s="489"/>
      <c r="AZ46" s="277"/>
      <c r="BA46" s="277"/>
      <c r="BB46" s="277"/>
      <c r="BC46" s="277"/>
      <c r="BD46" s="497"/>
    </row>
    <row r="47" spans="1:56" ht="15" thickBot="1">
      <c r="A47" s="2"/>
      <c r="B47" s="390"/>
      <c r="C47" s="391"/>
      <c r="D47" s="391"/>
      <c r="E47" s="391"/>
      <c r="F47" s="391"/>
      <c r="G47" s="392"/>
      <c r="H47" s="392"/>
      <c r="I47" s="392"/>
      <c r="J47" s="392"/>
      <c r="K47" s="392"/>
      <c r="L47" s="392"/>
      <c r="M47" s="392"/>
      <c r="N47" s="277"/>
      <c r="O47" s="277"/>
      <c r="P47" s="33"/>
      <c r="Q47" s="33"/>
      <c r="R47" s="33"/>
      <c r="S47" s="33"/>
      <c r="T47" s="4" t="s">
        <v>471</v>
      </c>
      <c r="V47" s="6" t="s">
        <v>2208</v>
      </c>
      <c r="W47" s="4" t="s">
        <v>472</v>
      </c>
      <c r="Y47" s="432" t="s">
        <v>413</v>
      </c>
      <c r="Z47" s="433">
        <v>0.15</v>
      </c>
      <c r="AA47" s="434" t="s">
        <v>42</v>
      </c>
      <c r="AB47" s="435" t="s">
        <v>473</v>
      </c>
      <c r="AC47" s="436" t="str">
        <f t="shared" si="0"/>
        <v>東京都清瀬市</v>
      </c>
      <c r="AD47" s="457">
        <v>11.05</v>
      </c>
      <c r="AE47" s="435">
        <v>10.83</v>
      </c>
      <c r="AF47" s="436">
        <v>10.68</v>
      </c>
      <c r="AG47" s="458" t="s">
        <v>474</v>
      </c>
      <c r="AH47" s="459">
        <v>0.7</v>
      </c>
      <c r="AJ47" s="1"/>
      <c r="AK47" s="1"/>
      <c r="AL47" s="1"/>
      <c r="AM47" s="1"/>
      <c r="AN47" s="1"/>
      <c r="AO47" s="2"/>
      <c r="AP47" s="2"/>
      <c r="AQ47" s="2"/>
      <c r="AR47" s="86"/>
      <c r="AS47" s="489"/>
      <c r="AT47" s="495"/>
      <c r="AU47" s="495"/>
      <c r="AV47" s="495"/>
      <c r="AX47" s="86"/>
      <c r="AY47" s="489"/>
      <c r="AZ47" s="277"/>
      <c r="BA47" s="277"/>
      <c r="BB47" s="277"/>
      <c r="BC47" s="277"/>
      <c r="BD47" s="497"/>
    </row>
    <row r="48" spans="1:56" ht="24" customHeight="1" thickBot="1">
      <c r="A48" s="2"/>
      <c r="B48" s="390"/>
      <c r="C48" s="391"/>
      <c r="D48" s="391"/>
      <c r="E48" s="391"/>
      <c r="F48" s="391"/>
      <c r="G48" s="392"/>
      <c r="H48" s="392"/>
      <c r="I48" s="392"/>
      <c r="J48" s="392"/>
      <c r="K48" s="392"/>
      <c r="L48" s="392"/>
      <c r="M48" s="392"/>
      <c r="N48" s="277"/>
      <c r="O48" s="277"/>
      <c r="P48" s="33"/>
      <c r="Q48" s="33"/>
      <c r="R48" s="33"/>
      <c r="S48" s="33"/>
      <c r="T48" s="4" t="s">
        <v>476</v>
      </c>
      <c r="V48" s="6" t="s">
        <v>2208</v>
      </c>
      <c r="W48" s="4" t="s">
        <v>477</v>
      </c>
      <c r="Y48" s="432" t="s">
        <v>413</v>
      </c>
      <c r="Z48" s="433">
        <v>0.15</v>
      </c>
      <c r="AA48" s="434" t="s">
        <v>42</v>
      </c>
      <c r="AB48" s="435" t="s">
        <v>478</v>
      </c>
      <c r="AC48" s="436" t="str">
        <f t="shared" si="0"/>
        <v>東京都東久留米市</v>
      </c>
      <c r="AD48" s="457">
        <v>11.05</v>
      </c>
      <c r="AE48" s="435">
        <v>10.83</v>
      </c>
      <c r="AF48" s="436">
        <v>10.68</v>
      </c>
      <c r="AG48" s="469" t="s">
        <v>43</v>
      </c>
      <c r="AH48" s="425">
        <v>0.7</v>
      </c>
      <c r="AJ48" s="1"/>
      <c r="AK48" s="1"/>
      <c r="AL48" s="1"/>
      <c r="AM48" s="1"/>
      <c r="AN48" s="1"/>
      <c r="AO48" s="2"/>
      <c r="AP48" s="2"/>
      <c r="AQ48" s="2"/>
      <c r="AR48" s="86"/>
      <c r="AS48" s="489"/>
      <c r="AT48" s="495"/>
      <c r="AU48" s="495"/>
      <c r="AV48" s="495"/>
      <c r="AX48" s="86"/>
      <c r="AY48" s="489"/>
      <c r="AZ48" s="277"/>
      <c r="BA48" s="277"/>
      <c r="BB48" s="277"/>
      <c r="BC48" s="277"/>
      <c r="BD48" s="497"/>
    </row>
    <row r="49" spans="1:56" ht="15" customHeight="1" thickBot="1">
      <c r="A49" s="2"/>
      <c r="B49" s="390"/>
      <c r="C49" s="391"/>
      <c r="D49" s="391"/>
      <c r="E49" s="391"/>
      <c r="F49" s="391"/>
      <c r="G49" s="392"/>
      <c r="H49" s="392"/>
      <c r="I49" s="392"/>
      <c r="J49" s="392"/>
      <c r="K49" s="392"/>
      <c r="L49" s="392"/>
      <c r="M49" s="392"/>
      <c r="N49" s="277"/>
      <c r="O49" s="277"/>
      <c r="P49" s="33"/>
      <c r="Q49" s="33"/>
      <c r="R49" s="33"/>
      <c r="S49" s="33"/>
      <c r="T49" s="5" t="s">
        <v>479</v>
      </c>
      <c r="V49" s="6" t="s">
        <v>2208</v>
      </c>
      <c r="W49" s="4" t="s">
        <v>480</v>
      </c>
      <c r="Y49" s="432" t="s">
        <v>413</v>
      </c>
      <c r="Z49" s="433">
        <v>0.15</v>
      </c>
      <c r="AA49" s="434" t="s">
        <v>42</v>
      </c>
      <c r="AB49" s="435" t="s">
        <v>481</v>
      </c>
      <c r="AC49" s="436" t="str">
        <f t="shared" si="0"/>
        <v>東京都稲城市</v>
      </c>
      <c r="AD49" s="457">
        <v>11.05</v>
      </c>
      <c r="AE49" s="435">
        <v>10.83</v>
      </c>
      <c r="AF49" s="436">
        <v>10.68</v>
      </c>
      <c r="AG49" s="470" t="s">
        <v>482</v>
      </c>
      <c r="AH49" s="433">
        <v>0.7</v>
      </c>
      <c r="AJ49" s="1"/>
      <c r="AK49" s="1"/>
      <c r="AL49" s="1"/>
      <c r="AM49" s="1"/>
      <c r="AN49" s="1"/>
      <c r="AO49" s="2"/>
      <c r="AP49" s="2"/>
      <c r="AQ49" s="2"/>
      <c r="AR49" s="86"/>
      <c r="AS49" s="489"/>
      <c r="AT49" s="495"/>
      <c r="AU49" s="495"/>
      <c r="AV49" s="495"/>
      <c r="AX49" s="86"/>
      <c r="AY49" s="489"/>
      <c r="AZ49" s="277"/>
      <c r="BA49" s="277"/>
      <c r="BB49" s="277"/>
      <c r="BC49" s="277"/>
      <c r="BD49" s="497"/>
    </row>
    <row r="50" spans="1:56" ht="15" thickBot="1">
      <c r="A50" s="2"/>
      <c r="B50" s="390"/>
      <c r="C50" s="391"/>
      <c r="D50" s="391"/>
      <c r="E50" s="391"/>
      <c r="F50" s="391"/>
      <c r="G50" s="392"/>
      <c r="H50" s="392"/>
      <c r="I50" s="392"/>
      <c r="J50" s="392"/>
      <c r="K50" s="392"/>
      <c r="L50" s="392"/>
      <c r="M50" s="392"/>
      <c r="N50" s="277"/>
      <c r="O50" s="277"/>
      <c r="P50" s="33"/>
      <c r="Q50" s="33"/>
      <c r="R50" s="33"/>
      <c r="S50" s="33"/>
      <c r="T50" s="2"/>
      <c r="V50" s="6" t="s">
        <v>2208</v>
      </c>
      <c r="W50" s="4" t="s">
        <v>483</v>
      </c>
      <c r="Y50" s="432" t="s">
        <v>413</v>
      </c>
      <c r="Z50" s="433">
        <v>0.15</v>
      </c>
      <c r="AA50" s="434" t="s">
        <v>42</v>
      </c>
      <c r="AB50" s="435" t="s">
        <v>484</v>
      </c>
      <c r="AC50" s="436" t="str">
        <f t="shared" si="0"/>
        <v>東京都西東京市</v>
      </c>
      <c r="AD50" s="457">
        <v>11.05</v>
      </c>
      <c r="AE50" s="435">
        <v>10.83</v>
      </c>
      <c r="AF50" s="436">
        <v>10.68</v>
      </c>
      <c r="AG50" s="471" t="s">
        <v>485</v>
      </c>
      <c r="AH50" s="433">
        <v>0.55000000000000004</v>
      </c>
      <c r="AJ50" s="1"/>
      <c r="AK50" s="1"/>
      <c r="AL50" s="1"/>
      <c r="AM50" s="1"/>
      <c r="AN50" s="1"/>
      <c r="AO50" s="2"/>
      <c r="AP50" s="2"/>
      <c r="AQ50" s="2"/>
      <c r="AR50" s="86"/>
      <c r="AS50" s="86"/>
      <c r="AT50" s="2"/>
      <c r="AU50" s="2"/>
      <c r="AV50" s="2"/>
      <c r="AX50" s="86"/>
      <c r="AY50" s="489"/>
      <c r="AZ50" s="277"/>
      <c r="BA50" s="277"/>
      <c r="BB50" s="277"/>
      <c r="BC50" s="277"/>
      <c r="BD50" s="497"/>
    </row>
    <row r="51" spans="1:56" ht="15" thickBot="1">
      <c r="A51" s="2"/>
      <c r="B51" s="390"/>
      <c r="C51" s="277"/>
      <c r="D51" s="277"/>
      <c r="E51" s="277"/>
      <c r="F51" s="277"/>
      <c r="G51" s="277"/>
      <c r="H51" s="277"/>
      <c r="I51" s="277"/>
      <c r="J51" s="277"/>
      <c r="K51" s="277"/>
      <c r="L51" s="277"/>
      <c r="M51" s="277"/>
      <c r="N51" s="277"/>
      <c r="O51" s="277"/>
      <c r="P51" s="33"/>
      <c r="Q51" s="33"/>
      <c r="R51" s="33"/>
      <c r="S51" s="33"/>
      <c r="T51" s="2"/>
      <c r="V51" s="6" t="s">
        <v>2208</v>
      </c>
      <c r="W51" s="4" t="s">
        <v>486</v>
      </c>
      <c r="Y51" s="432" t="s">
        <v>413</v>
      </c>
      <c r="Z51" s="433">
        <v>0.15</v>
      </c>
      <c r="AA51" s="434" t="s">
        <v>399</v>
      </c>
      <c r="AB51" s="435" t="s">
        <v>487</v>
      </c>
      <c r="AC51" s="436" t="str">
        <f t="shared" si="0"/>
        <v>神奈川県鎌倉市</v>
      </c>
      <c r="AD51" s="457">
        <v>11.05</v>
      </c>
      <c r="AE51" s="435">
        <v>10.83</v>
      </c>
      <c r="AF51" s="436">
        <v>10.68</v>
      </c>
      <c r="AG51" s="471" t="s">
        <v>488</v>
      </c>
      <c r="AH51" s="433">
        <v>0.55000000000000004</v>
      </c>
      <c r="AJ51" s="1"/>
      <c r="AK51" s="1"/>
      <c r="AL51" s="1"/>
      <c r="AM51" s="1"/>
      <c r="AN51" s="1"/>
      <c r="AO51" s="2"/>
      <c r="AP51" s="2"/>
      <c r="AQ51" s="2"/>
      <c r="AR51" s="1043"/>
      <c r="AS51" s="1043"/>
      <c r="AT51" s="1043"/>
      <c r="AU51" s="1043"/>
      <c r="AV51" s="2"/>
      <c r="AX51" s="86"/>
      <c r="AY51" s="489"/>
      <c r="AZ51" s="277"/>
      <c r="BA51" s="277"/>
      <c r="BB51" s="277"/>
      <c r="BC51" s="277"/>
      <c r="BD51" s="497"/>
    </row>
    <row r="52" spans="1:56" ht="15" thickBot="1">
      <c r="A52" s="393"/>
      <c r="B52" s="86"/>
      <c r="C52" s="277"/>
      <c r="D52" s="277"/>
      <c r="E52" s="277"/>
      <c r="F52" s="277"/>
      <c r="G52" s="277"/>
      <c r="H52" s="277"/>
      <c r="I52" s="277"/>
      <c r="J52" s="277"/>
      <c r="K52" s="277"/>
      <c r="L52" s="277"/>
      <c r="M52" s="277"/>
      <c r="N52" s="277"/>
      <c r="O52" s="277"/>
      <c r="P52" s="33"/>
      <c r="Q52" s="33"/>
      <c r="R52" s="33"/>
      <c r="S52" s="33"/>
      <c r="T52" s="2"/>
      <c r="V52" s="6" t="s">
        <v>2208</v>
      </c>
      <c r="W52" s="4" t="s">
        <v>489</v>
      </c>
      <c r="Y52" s="432" t="s">
        <v>413</v>
      </c>
      <c r="Z52" s="433">
        <v>0.15</v>
      </c>
      <c r="AA52" s="434" t="s">
        <v>399</v>
      </c>
      <c r="AB52" s="435" t="s">
        <v>490</v>
      </c>
      <c r="AC52" s="436" t="str">
        <f t="shared" si="0"/>
        <v>神奈川県厚木市</v>
      </c>
      <c r="AD52" s="457">
        <v>11.05</v>
      </c>
      <c r="AE52" s="435">
        <v>10.83</v>
      </c>
      <c r="AF52" s="436">
        <v>10.68</v>
      </c>
      <c r="AG52" s="471" t="s">
        <v>491</v>
      </c>
      <c r="AH52" s="433">
        <v>0.7</v>
      </c>
      <c r="AJ52" s="1"/>
      <c r="AK52" s="1"/>
      <c r="AL52" s="1"/>
      <c r="AM52" s="1"/>
      <c r="AN52" s="1"/>
      <c r="AO52" s="2"/>
      <c r="AP52" s="2"/>
      <c r="AQ52" s="2"/>
      <c r="AR52" s="1044"/>
      <c r="AS52" s="1044"/>
      <c r="AT52" s="1044"/>
      <c r="AU52" s="1044"/>
      <c r="AV52" s="2"/>
      <c r="AX52" s="86"/>
      <c r="AY52" s="489"/>
      <c r="AZ52" s="277"/>
      <c r="BA52" s="277"/>
      <c r="BB52" s="277"/>
      <c r="BC52" s="277"/>
      <c r="BD52" s="497"/>
    </row>
    <row r="53" spans="1:56" ht="15" thickBot="1">
      <c r="A53" s="393"/>
      <c r="B53" s="86"/>
      <c r="C53" s="277"/>
      <c r="D53" s="277"/>
      <c r="E53" s="277"/>
      <c r="F53" s="277"/>
      <c r="G53" s="277"/>
      <c r="H53" s="277"/>
      <c r="I53" s="277"/>
      <c r="J53" s="277"/>
      <c r="K53" s="277"/>
      <c r="L53" s="277"/>
      <c r="M53" s="277"/>
      <c r="N53" s="277"/>
      <c r="O53" s="277"/>
      <c r="P53" s="33"/>
      <c r="Q53" s="33"/>
      <c r="R53" s="33"/>
      <c r="S53" s="33"/>
      <c r="T53" s="2"/>
      <c r="V53" s="6" t="s">
        <v>2208</v>
      </c>
      <c r="W53" s="4" t="s">
        <v>492</v>
      </c>
      <c r="Y53" s="432" t="s">
        <v>413</v>
      </c>
      <c r="Z53" s="433">
        <v>0.15</v>
      </c>
      <c r="AA53" s="434" t="s">
        <v>493</v>
      </c>
      <c r="AB53" s="435" t="s">
        <v>494</v>
      </c>
      <c r="AC53" s="436" t="str">
        <f t="shared" si="0"/>
        <v>愛知県名古屋市</v>
      </c>
      <c r="AD53" s="457">
        <v>11.05</v>
      </c>
      <c r="AE53" s="435">
        <v>10.83</v>
      </c>
      <c r="AF53" s="456">
        <v>10.68</v>
      </c>
      <c r="AG53" s="472" t="s">
        <v>495</v>
      </c>
      <c r="AH53" s="442">
        <v>0.7</v>
      </c>
      <c r="AJ53" s="1"/>
      <c r="AK53" s="1"/>
      <c r="AL53" s="1"/>
      <c r="AM53" s="1"/>
      <c r="AN53" s="1"/>
      <c r="AR53" s="1044"/>
      <c r="AS53" s="1044"/>
      <c r="AT53" s="1044"/>
      <c r="AU53" s="1044"/>
      <c r="AV53" s="2"/>
      <c r="AX53" s="2"/>
      <c r="AY53" s="86"/>
      <c r="AZ53" s="277"/>
      <c r="BA53" s="277"/>
      <c r="BB53" s="277"/>
      <c r="BC53" s="2"/>
    </row>
    <row r="54" spans="1:56" ht="15" thickBot="1">
      <c r="A54" s="86"/>
      <c r="B54" s="86"/>
      <c r="C54" s="277"/>
      <c r="D54" s="277"/>
      <c r="E54" s="277"/>
      <c r="F54" s="277"/>
      <c r="G54" s="277"/>
      <c r="H54" s="277"/>
      <c r="I54" s="277"/>
      <c r="J54" s="277"/>
      <c r="K54" s="277"/>
      <c r="L54" s="277"/>
      <c r="M54" s="277"/>
      <c r="N54" s="277"/>
      <c r="O54" s="277"/>
      <c r="P54" s="33"/>
      <c r="Q54" s="33"/>
      <c r="R54" s="33"/>
      <c r="S54" s="33"/>
      <c r="T54" s="2"/>
      <c r="V54" s="6" t="s">
        <v>2208</v>
      </c>
      <c r="W54" s="4" t="s">
        <v>496</v>
      </c>
      <c r="Y54" s="432" t="s">
        <v>413</v>
      </c>
      <c r="Z54" s="433">
        <v>0.15</v>
      </c>
      <c r="AA54" s="434" t="s">
        <v>493</v>
      </c>
      <c r="AB54" s="435" t="s">
        <v>497</v>
      </c>
      <c r="AC54" s="436" t="str">
        <f t="shared" si="0"/>
        <v>愛知県刈谷市</v>
      </c>
      <c r="AD54" s="457">
        <v>11.05</v>
      </c>
      <c r="AE54" s="435">
        <v>10.83</v>
      </c>
      <c r="AF54" s="456">
        <v>10.68</v>
      </c>
      <c r="AG54" s="412"/>
      <c r="AH54" s="412"/>
      <c r="AJ54" s="1"/>
      <c r="AK54" s="1"/>
      <c r="AL54" s="1"/>
      <c r="AM54" s="1"/>
      <c r="AN54" s="1"/>
      <c r="AX54" s="393"/>
      <c r="AY54" s="86"/>
      <c r="AZ54" s="277"/>
      <c r="BA54" s="277"/>
      <c r="BB54" s="277"/>
      <c r="BC54" s="2"/>
    </row>
    <row r="55" spans="1:56" ht="15" thickBot="1">
      <c r="A55" s="86"/>
      <c r="B55" s="86"/>
      <c r="C55" s="277"/>
      <c r="D55" s="277"/>
      <c r="E55" s="277"/>
      <c r="F55" s="277"/>
      <c r="G55" s="277"/>
      <c r="H55" s="277"/>
      <c r="I55" s="277"/>
      <c r="J55" s="277"/>
      <c r="K55" s="277"/>
      <c r="L55" s="277"/>
      <c r="M55" s="277"/>
      <c r="N55" s="277"/>
      <c r="O55" s="277"/>
      <c r="P55" s="33"/>
      <c r="Q55" s="33"/>
      <c r="R55" s="33"/>
      <c r="S55" s="33"/>
      <c r="T55"/>
      <c r="U55"/>
      <c r="V55" s="6" t="s">
        <v>2208</v>
      </c>
      <c r="W55" s="4" t="s">
        <v>498</v>
      </c>
      <c r="X55" s="2"/>
      <c r="Y55" s="432" t="s">
        <v>413</v>
      </c>
      <c r="Z55" s="433">
        <v>0.15</v>
      </c>
      <c r="AA55" s="434" t="s">
        <v>493</v>
      </c>
      <c r="AB55" s="435" t="s">
        <v>499</v>
      </c>
      <c r="AC55" s="436" t="str">
        <f t="shared" si="0"/>
        <v>愛知県豊田市</v>
      </c>
      <c r="AD55" s="457">
        <v>11.05</v>
      </c>
      <c r="AE55" s="435">
        <v>10.83</v>
      </c>
      <c r="AF55" s="456">
        <v>10.68</v>
      </c>
      <c r="AG55" s="414"/>
      <c r="AH55" s="414"/>
      <c r="AJ55" s="1"/>
      <c r="AK55" s="1"/>
      <c r="AL55" s="1"/>
      <c r="AM55" s="1"/>
      <c r="AN55" s="1"/>
      <c r="AO55"/>
      <c r="AP55"/>
      <c r="AW55"/>
      <c r="AX55" s="393"/>
      <c r="AY55" s="86"/>
      <c r="AZ55" s="277"/>
      <c r="BA55" s="277"/>
      <c r="BB55" s="277"/>
      <c r="BC55" s="2"/>
    </row>
    <row r="56" spans="1:56" ht="15" thickBot="1">
      <c r="A56" s="86"/>
      <c r="B56" s="86"/>
      <c r="C56" s="277"/>
      <c r="D56" s="277"/>
      <c r="E56" s="277"/>
      <c r="F56" s="277"/>
      <c r="G56" s="277"/>
      <c r="H56" s="277"/>
      <c r="I56" s="277"/>
      <c r="J56" s="277"/>
      <c r="K56" s="277"/>
      <c r="L56" s="277"/>
      <c r="M56" s="277"/>
      <c r="N56" s="277"/>
      <c r="O56" s="277"/>
      <c r="P56" s="33"/>
      <c r="Q56" s="33"/>
      <c r="R56" s="33"/>
      <c r="S56" s="33"/>
      <c r="T56"/>
      <c r="U56"/>
      <c r="V56" s="6" t="s">
        <v>2208</v>
      </c>
      <c r="W56" s="4" t="s">
        <v>500</v>
      </c>
      <c r="X56" s="2"/>
      <c r="Y56" s="432" t="s">
        <v>413</v>
      </c>
      <c r="Z56" s="433">
        <v>0.15</v>
      </c>
      <c r="AA56" s="434" t="s">
        <v>408</v>
      </c>
      <c r="AB56" s="435" t="s">
        <v>501</v>
      </c>
      <c r="AC56" s="436" t="str">
        <f t="shared" si="0"/>
        <v>大阪府守口市</v>
      </c>
      <c r="AD56" s="457">
        <v>11.05</v>
      </c>
      <c r="AE56" s="435">
        <v>10.83</v>
      </c>
      <c r="AF56" s="456">
        <v>10.68</v>
      </c>
      <c r="AG56" s="414"/>
      <c r="AH56" s="414"/>
      <c r="AJ56" s="1"/>
      <c r="AK56" s="1"/>
      <c r="AL56" s="1"/>
      <c r="AM56" s="1"/>
      <c r="AN56" s="1"/>
      <c r="AO56"/>
      <c r="AP56"/>
      <c r="AW56"/>
      <c r="AX56" s="86"/>
      <c r="AY56" s="86"/>
      <c r="AZ56" s="277"/>
      <c r="BA56" s="277"/>
      <c r="BB56" s="277"/>
      <c r="BC56" s="2"/>
    </row>
    <row r="57" spans="1:56" ht="15" thickBot="1">
      <c r="A57" s="86"/>
      <c r="B57" s="86"/>
      <c r="C57" s="277"/>
      <c r="D57" s="277"/>
      <c r="E57" s="277"/>
      <c r="F57" s="277"/>
      <c r="G57" s="277"/>
      <c r="H57" s="277"/>
      <c r="I57" s="277"/>
      <c r="J57" s="277"/>
      <c r="K57" s="277"/>
      <c r="L57" s="277"/>
      <c r="M57" s="277"/>
      <c r="N57" s="277"/>
      <c r="O57" s="277"/>
      <c r="P57" s="33"/>
      <c r="Q57" s="33"/>
      <c r="R57" s="33"/>
      <c r="S57" s="33"/>
      <c r="T57"/>
      <c r="U57"/>
      <c r="V57" s="6" t="s">
        <v>2208</v>
      </c>
      <c r="W57" s="4" t="s">
        <v>502</v>
      </c>
      <c r="X57" s="2"/>
      <c r="Y57" s="432" t="s">
        <v>413</v>
      </c>
      <c r="Z57" s="433">
        <v>0.15</v>
      </c>
      <c r="AA57" s="434" t="s">
        <v>408</v>
      </c>
      <c r="AB57" s="435" t="s">
        <v>503</v>
      </c>
      <c r="AC57" s="436" t="str">
        <f t="shared" si="0"/>
        <v>大阪府大東市</v>
      </c>
      <c r="AD57" s="457">
        <v>11.05</v>
      </c>
      <c r="AE57" s="435">
        <v>10.83</v>
      </c>
      <c r="AF57" s="456">
        <v>10.68</v>
      </c>
      <c r="AG57" s="414"/>
      <c r="AH57" s="414"/>
      <c r="AJ57" s="1"/>
      <c r="AK57" s="1"/>
      <c r="AL57" s="1"/>
      <c r="AM57" s="1"/>
      <c r="AN57" s="1"/>
      <c r="AX57" s="86"/>
      <c r="AY57" s="86"/>
      <c r="AZ57" s="277"/>
      <c r="BA57" s="277"/>
      <c r="BB57" s="277"/>
      <c r="BC57" s="2"/>
    </row>
    <row r="58" spans="1:56" ht="15" thickBot="1">
      <c r="A58"/>
      <c r="B58"/>
      <c r="C58"/>
      <c r="D58"/>
      <c r="E58"/>
      <c r="F58"/>
      <c r="G58"/>
      <c r="H58"/>
      <c r="I58"/>
      <c r="J58" s="277"/>
      <c r="K58"/>
      <c r="L58"/>
      <c r="M58"/>
      <c r="N58"/>
      <c r="O58"/>
      <c r="P58" s="33"/>
      <c r="Q58" s="33"/>
      <c r="R58" s="33"/>
      <c r="S58" s="33"/>
      <c r="V58" s="6" t="s">
        <v>2208</v>
      </c>
      <c r="W58" s="4" t="s">
        <v>504</v>
      </c>
      <c r="X58" s="2"/>
      <c r="Y58" s="432" t="s">
        <v>413</v>
      </c>
      <c r="Z58" s="433">
        <v>0.15</v>
      </c>
      <c r="AA58" s="434" t="s">
        <v>408</v>
      </c>
      <c r="AB58" s="435" t="s">
        <v>505</v>
      </c>
      <c r="AC58" s="436" t="str">
        <f t="shared" si="0"/>
        <v>大阪府門真市</v>
      </c>
      <c r="AD58" s="457">
        <v>11.05</v>
      </c>
      <c r="AE58" s="435">
        <v>10.83</v>
      </c>
      <c r="AF58" s="456">
        <v>10.68</v>
      </c>
      <c r="AG58" s="414"/>
      <c r="AH58" s="414"/>
      <c r="AJ58" s="1"/>
      <c r="AK58" s="1"/>
      <c r="AL58" s="1"/>
      <c r="AM58" s="1"/>
      <c r="AN58" s="1"/>
      <c r="AV58"/>
      <c r="AX58" s="86"/>
      <c r="AY58" s="86"/>
      <c r="AZ58" s="277"/>
      <c r="BA58" s="277"/>
      <c r="BB58" s="277"/>
      <c r="BC58" s="2"/>
    </row>
    <row r="59" spans="1:56" ht="15" thickBot="1">
      <c r="A59"/>
      <c r="C59"/>
      <c r="D59"/>
      <c r="E59"/>
      <c r="F59"/>
      <c r="G59"/>
      <c r="H59"/>
      <c r="I59"/>
      <c r="J59"/>
      <c r="K59"/>
      <c r="L59"/>
      <c r="M59"/>
      <c r="N59"/>
      <c r="O59"/>
      <c r="P59" s="33"/>
      <c r="Q59" s="33"/>
      <c r="R59" s="33"/>
      <c r="S59" s="33"/>
      <c r="V59" s="6" t="s">
        <v>2208</v>
      </c>
      <c r="W59" s="4" t="s">
        <v>506</v>
      </c>
      <c r="X59" s="2"/>
      <c r="Y59" s="432" t="s">
        <v>413</v>
      </c>
      <c r="Z59" s="433">
        <v>0.15</v>
      </c>
      <c r="AA59" s="434" t="s">
        <v>507</v>
      </c>
      <c r="AB59" s="435" t="s">
        <v>508</v>
      </c>
      <c r="AC59" s="436" t="str">
        <f t="shared" si="0"/>
        <v>兵庫県西宮市</v>
      </c>
      <c r="AD59" s="457">
        <v>11.05</v>
      </c>
      <c r="AE59" s="435">
        <v>10.83</v>
      </c>
      <c r="AF59" s="456">
        <v>10.68</v>
      </c>
      <c r="AG59" s="414"/>
      <c r="AH59" s="414"/>
      <c r="AJ59" s="1"/>
      <c r="AK59" s="1"/>
      <c r="AL59" s="1"/>
      <c r="AM59" s="1"/>
      <c r="AN59" s="1"/>
      <c r="AV59"/>
      <c r="AX59" s="86"/>
      <c r="AY59" s="86"/>
      <c r="AZ59" s="277"/>
      <c r="BA59" s="277"/>
      <c r="BB59" s="277"/>
      <c r="BC59" s="2"/>
    </row>
    <row r="60" spans="1:56" ht="15" thickBot="1">
      <c r="A60"/>
      <c r="C60"/>
      <c r="D60"/>
      <c r="E60"/>
      <c r="F60"/>
      <c r="G60"/>
      <c r="H60"/>
      <c r="I60"/>
      <c r="J60"/>
      <c r="K60"/>
      <c r="L60"/>
      <c r="M60"/>
      <c r="N60"/>
      <c r="O60"/>
      <c r="P60" s="33"/>
      <c r="Q60" s="33"/>
      <c r="R60" s="33"/>
      <c r="S60" s="33"/>
      <c r="V60" s="6" t="s">
        <v>2208</v>
      </c>
      <c r="W60" s="4" t="s">
        <v>509</v>
      </c>
      <c r="X60" s="2"/>
      <c r="Y60" s="432" t="s">
        <v>413</v>
      </c>
      <c r="Z60" s="433">
        <v>0.15</v>
      </c>
      <c r="AA60" s="434" t="s">
        <v>507</v>
      </c>
      <c r="AB60" s="435" t="s">
        <v>510</v>
      </c>
      <c r="AC60" s="436" t="str">
        <f t="shared" si="0"/>
        <v>兵庫県芦屋市</v>
      </c>
      <c r="AD60" s="457">
        <v>11.05</v>
      </c>
      <c r="AE60" s="435">
        <v>10.83</v>
      </c>
      <c r="AF60" s="456">
        <v>10.68</v>
      </c>
      <c r="AG60" s="414"/>
      <c r="AH60" s="414"/>
      <c r="AJ60" s="1"/>
      <c r="AK60" s="1"/>
      <c r="AL60" s="1"/>
      <c r="AM60" s="1"/>
      <c r="AN60" s="1"/>
    </row>
    <row r="61" spans="1:56" ht="15" thickBot="1">
      <c r="E61" s="31"/>
      <c r="F61" s="31"/>
      <c r="G61" s="31"/>
      <c r="H61" s="31"/>
      <c r="I61" s="31"/>
      <c r="J61"/>
      <c r="K61" s="31"/>
      <c r="L61" s="31"/>
      <c r="M61" s="31"/>
      <c r="V61" s="6" t="s">
        <v>2208</v>
      </c>
      <c r="W61" s="4" t="s">
        <v>511</v>
      </c>
      <c r="X61" s="2"/>
      <c r="Y61" s="441" t="s">
        <v>413</v>
      </c>
      <c r="Z61" s="442">
        <v>0.15</v>
      </c>
      <c r="AA61" s="443" t="s">
        <v>507</v>
      </c>
      <c r="AB61" s="444" t="s">
        <v>512</v>
      </c>
      <c r="AC61" s="445" t="str">
        <f t="shared" si="0"/>
        <v>兵庫県宝塚市</v>
      </c>
      <c r="AD61" s="463">
        <v>11.05</v>
      </c>
      <c r="AE61" s="444">
        <v>10.83</v>
      </c>
      <c r="AF61" s="464">
        <v>10.68</v>
      </c>
      <c r="AG61" s="414"/>
      <c r="AH61" s="414"/>
      <c r="AJ61" s="1"/>
      <c r="AK61" s="1"/>
      <c r="AL61" s="1"/>
      <c r="AM61" s="1"/>
      <c r="AN61" s="1"/>
      <c r="AZ61" s="1"/>
    </row>
    <row r="62" spans="1:56" ht="15" thickBot="1">
      <c r="E62" s="31"/>
      <c r="F62" s="31"/>
      <c r="G62" s="31"/>
      <c r="H62" s="31"/>
      <c r="I62" s="31"/>
      <c r="J62" s="31"/>
      <c r="K62" s="31"/>
      <c r="L62" s="31"/>
      <c r="M62" s="31"/>
      <c r="V62" s="6" t="s">
        <v>2208</v>
      </c>
      <c r="W62" s="4" t="s">
        <v>513</v>
      </c>
      <c r="X62" s="2"/>
      <c r="Y62" s="424" t="s">
        <v>514</v>
      </c>
      <c r="Z62" s="425">
        <v>0.12</v>
      </c>
      <c r="AA62" s="473" t="s">
        <v>313</v>
      </c>
      <c r="AB62" s="427" t="s">
        <v>515</v>
      </c>
      <c r="AC62" s="455" t="str">
        <f t="shared" si="0"/>
        <v>茨城県牛久市</v>
      </c>
      <c r="AD62" s="454">
        <v>10.84</v>
      </c>
      <c r="AE62" s="427">
        <v>10.66</v>
      </c>
      <c r="AF62" s="455">
        <v>10.54</v>
      </c>
      <c r="AG62" s="414"/>
      <c r="AH62" s="414"/>
      <c r="AJ62" s="1"/>
      <c r="AK62" s="1"/>
      <c r="AL62" s="1"/>
      <c r="AM62" s="1"/>
      <c r="AN62" s="1"/>
      <c r="AZ62" s="1"/>
    </row>
    <row r="63" spans="1:56" ht="15" thickBot="1">
      <c r="E63" s="31"/>
      <c r="F63" s="31"/>
      <c r="G63" s="31"/>
      <c r="H63" s="31"/>
      <c r="I63" s="31"/>
      <c r="J63" s="31"/>
      <c r="K63" s="31"/>
      <c r="L63" s="31"/>
      <c r="M63" s="31"/>
      <c r="V63" s="6" t="s">
        <v>2208</v>
      </c>
      <c r="W63" s="4" t="s">
        <v>516</v>
      </c>
      <c r="X63" s="2"/>
      <c r="Y63" s="432" t="s">
        <v>514</v>
      </c>
      <c r="Z63" s="433">
        <v>0.12</v>
      </c>
      <c r="AA63" s="474" t="s">
        <v>326</v>
      </c>
      <c r="AB63" s="435" t="s">
        <v>517</v>
      </c>
      <c r="AC63" s="456" t="str">
        <f t="shared" si="0"/>
        <v>埼玉県朝霞市</v>
      </c>
      <c r="AD63" s="457">
        <v>10.84</v>
      </c>
      <c r="AE63" s="435">
        <v>10.66</v>
      </c>
      <c r="AF63" s="456">
        <v>10.54</v>
      </c>
      <c r="AG63" s="414"/>
      <c r="AH63" s="414"/>
      <c r="AJ63" s="1"/>
      <c r="AK63" s="1"/>
      <c r="AL63" s="1"/>
      <c r="AM63" s="1"/>
      <c r="AN63" s="1"/>
      <c r="AZ63" s="1"/>
    </row>
    <row r="64" spans="1:56" ht="15" thickBot="1">
      <c r="E64" s="31"/>
      <c r="F64" s="31"/>
      <c r="G64" s="31"/>
      <c r="H64" s="31"/>
      <c r="I64" s="31"/>
      <c r="J64" s="31"/>
      <c r="K64" s="31"/>
      <c r="L64" s="31"/>
      <c r="M64" s="31"/>
      <c r="V64" s="6" t="s">
        <v>2208</v>
      </c>
      <c r="W64" s="4" t="s">
        <v>518</v>
      </c>
      <c r="X64" s="2"/>
      <c r="Y64" s="432" t="s">
        <v>514</v>
      </c>
      <c r="Z64" s="433">
        <v>0.12</v>
      </c>
      <c r="AA64" s="474" t="s">
        <v>326</v>
      </c>
      <c r="AB64" s="435" t="s">
        <v>519</v>
      </c>
      <c r="AC64" s="456" t="str">
        <f t="shared" si="0"/>
        <v>埼玉県志木市</v>
      </c>
      <c r="AD64" s="457">
        <v>10.84</v>
      </c>
      <c r="AE64" s="435">
        <v>10.66</v>
      </c>
      <c r="AF64" s="456">
        <v>10.54</v>
      </c>
      <c r="AG64" s="414"/>
      <c r="AH64" s="414"/>
      <c r="AJ64" s="1"/>
      <c r="AK64" s="1"/>
      <c r="AL64" s="1"/>
      <c r="AM64" s="1"/>
      <c r="AN64" s="1"/>
      <c r="AZ64" s="1"/>
    </row>
    <row r="65" spans="22:34" ht="14.25" thickBot="1">
      <c r="V65" s="6" t="s">
        <v>2208</v>
      </c>
      <c r="W65" s="4" t="s">
        <v>520</v>
      </c>
      <c r="X65" s="2"/>
      <c r="Y65" s="432" t="s">
        <v>514</v>
      </c>
      <c r="Z65" s="433">
        <v>0.12</v>
      </c>
      <c r="AA65" s="474" t="s">
        <v>326</v>
      </c>
      <c r="AB65" s="435" t="s">
        <v>521</v>
      </c>
      <c r="AC65" s="456" t="str">
        <f t="shared" si="0"/>
        <v>埼玉県和光市</v>
      </c>
      <c r="AD65" s="457">
        <v>10.84</v>
      </c>
      <c r="AE65" s="435">
        <v>10.66</v>
      </c>
      <c r="AF65" s="456">
        <v>10.54</v>
      </c>
      <c r="AG65" s="414"/>
      <c r="AH65" s="414"/>
    </row>
    <row r="66" spans="22:34" ht="14.25" thickBot="1">
      <c r="V66" s="6" t="s">
        <v>2208</v>
      </c>
      <c r="W66" s="4" t="s">
        <v>522</v>
      </c>
      <c r="X66" s="2"/>
      <c r="Y66" s="432" t="s">
        <v>514</v>
      </c>
      <c r="Z66" s="433">
        <v>0.12</v>
      </c>
      <c r="AA66" s="474" t="s">
        <v>331</v>
      </c>
      <c r="AB66" s="435" t="s">
        <v>523</v>
      </c>
      <c r="AC66" s="456" t="str">
        <f t="shared" si="0"/>
        <v>千葉県船橋市</v>
      </c>
      <c r="AD66" s="457">
        <v>10.84</v>
      </c>
      <c r="AE66" s="435">
        <v>10.66</v>
      </c>
      <c r="AF66" s="456">
        <v>10.54</v>
      </c>
      <c r="AG66" s="414"/>
      <c r="AH66" s="414"/>
    </row>
    <row r="67" spans="22:34" ht="14.25" thickBot="1">
      <c r="V67" s="6" t="s">
        <v>2208</v>
      </c>
      <c r="W67" s="4" t="s">
        <v>524</v>
      </c>
      <c r="X67" s="2"/>
      <c r="Y67" s="432" t="s">
        <v>514</v>
      </c>
      <c r="Z67" s="433">
        <v>0.12</v>
      </c>
      <c r="AA67" s="474" t="s">
        <v>331</v>
      </c>
      <c r="AB67" s="435" t="s">
        <v>525</v>
      </c>
      <c r="AC67" s="456" t="str">
        <f t="shared" si="0"/>
        <v>千葉県成田市</v>
      </c>
      <c r="AD67" s="457">
        <v>10.84</v>
      </c>
      <c r="AE67" s="435">
        <v>10.66</v>
      </c>
      <c r="AF67" s="456">
        <v>10.54</v>
      </c>
      <c r="AG67" s="414"/>
      <c r="AH67" s="414"/>
    </row>
    <row r="68" spans="22:34" ht="14.25" thickBot="1">
      <c r="V68" s="6" t="s">
        <v>2208</v>
      </c>
      <c r="W68" s="4" t="s">
        <v>526</v>
      </c>
      <c r="X68" s="2"/>
      <c r="Y68" s="432" t="s">
        <v>514</v>
      </c>
      <c r="Z68" s="433">
        <v>0.12</v>
      </c>
      <c r="AA68" s="474" t="s">
        <v>331</v>
      </c>
      <c r="AB68" s="435" t="s">
        <v>527</v>
      </c>
      <c r="AC68" s="456" t="str">
        <f t="shared" ref="AC68:AC131" si="1">AA68&amp;AB68</f>
        <v>千葉県習志野市</v>
      </c>
      <c r="AD68" s="457">
        <v>10.84</v>
      </c>
      <c r="AE68" s="435">
        <v>10.66</v>
      </c>
      <c r="AF68" s="456">
        <v>10.54</v>
      </c>
      <c r="AG68" s="414"/>
      <c r="AH68" s="414"/>
    </row>
    <row r="69" spans="22:34" ht="14.25" thickBot="1">
      <c r="V69" s="6" t="s">
        <v>2208</v>
      </c>
      <c r="W69" s="4" t="s">
        <v>528</v>
      </c>
      <c r="X69" s="2"/>
      <c r="Y69" s="432" t="s">
        <v>514</v>
      </c>
      <c r="Z69" s="433">
        <v>0.12</v>
      </c>
      <c r="AA69" s="474" t="s">
        <v>4</v>
      </c>
      <c r="AB69" s="435" t="s">
        <v>529</v>
      </c>
      <c r="AC69" s="456" t="str">
        <f t="shared" si="1"/>
        <v>東京都立川市</v>
      </c>
      <c r="AD69" s="457">
        <v>10.84</v>
      </c>
      <c r="AE69" s="435">
        <v>10.66</v>
      </c>
      <c r="AF69" s="456">
        <v>10.54</v>
      </c>
      <c r="AG69" s="414"/>
      <c r="AH69" s="414"/>
    </row>
    <row r="70" spans="22:34" ht="14.25" thickBot="1">
      <c r="V70" s="6" t="s">
        <v>2208</v>
      </c>
      <c r="W70" s="4" t="s">
        <v>530</v>
      </c>
      <c r="X70" s="2"/>
      <c r="Y70" s="432" t="s">
        <v>514</v>
      </c>
      <c r="Z70" s="433">
        <v>0.12</v>
      </c>
      <c r="AA70" s="474" t="s">
        <v>4</v>
      </c>
      <c r="AB70" s="435" t="s">
        <v>531</v>
      </c>
      <c r="AC70" s="456" t="str">
        <f t="shared" si="1"/>
        <v>東京都昭島市</v>
      </c>
      <c r="AD70" s="457">
        <v>10.84</v>
      </c>
      <c r="AE70" s="435">
        <v>10.66</v>
      </c>
      <c r="AF70" s="456">
        <v>10.54</v>
      </c>
      <c r="AG70" s="414"/>
      <c r="AH70" s="414"/>
    </row>
    <row r="71" spans="22:34" ht="14.25" thickBot="1">
      <c r="V71" s="6" t="s">
        <v>2208</v>
      </c>
      <c r="W71" s="4" t="s">
        <v>532</v>
      </c>
      <c r="X71" s="2"/>
      <c r="Y71" s="432" t="s">
        <v>514</v>
      </c>
      <c r="Z71" s="433">
        <v>0.12</v>
      </c>
      <c r="AA71" s="474" t="s">
        <v>4</v>
      </c>
      <c r="AB71" s="435" t="s">
        <v>533</v>
      </c>
      <c r="AC71" s="456" t="str">
        <f t="shared" si="1"/>
        <v>東京都東大和市</v>
      </c>
      <c r="AD71" s="457">
        <v>10.84</v>
      </c>
      <c r="AE71" s="435">
        <v>10.66</v>
      </c>
      <c r="AF71" s="456">
        <v>10.54</v>
      </c>
      <c r="AG71" s="414"/>
      <c r="AH71" s="414"/>
    </row>
    <row r="72" spans="22:34" ht="14.25" thickBot="1">
      <c r="V72" s="6" t="s">
        <v>2208</v>
      </c>
      <c r="W72" s="4" t="s">
        <v>534</v>
      </c>
      <c r="X72" s="2"/>
      <c r="Y72" s="432" t="s">
        <v>514</v>
      </c>
      <c r="Z72" s="433">
        <v>0.12</v>
      </c>
      <c r="AA72" s="474" t="s">
        <v>338</v>
      </c>
      <c r="AB72" s="435" t="s">
        <v>535</v>
      </c>
      <c r="AC72" s="456" t="str">
        <f t="shared" si="1"/>
        <v>神奈川県相模原市</v>
      </c>
      <c r="AD72" s="457">
        <v>10.84</v>
      </c>
      <c r="AE72" s="435">
        <v>10.66</v>
      </c>
      <c r="AF72" s="456">
        <v>10.54</v>
      </c>
      <c r="AG72" s="414"/>
      <c r="AH72" s="414"/>
    </row>
    <row r="73" spans="22:34" ht="14.25" thickBot="1">
      <c r="V73" s="6" t="s">
        <v>2208</v>
      </c>
      <c r="W73" s="4" t="s">
        <v>536</v>
      </c>
      <c r="X73" s="2"/>
      <c r="Y73" s="432" t="s">
        <v>514</v>
      </c>
      <c r="Z73" s="433">
        <v>0.12</v>
      </c>
      <c r="AA73" s="474" t="s">
        <v>338</v>
      </c>
      <c r="AB73" s="435" t="s">
        <v>537</v>
      </c>
      <c r="AC73" s="456" t="str">
        <f t="shared" si="1"/>
        <v>神奈川県横須賀市</v>
      </c>
      <c r="AD73" s="457">
        <v>10.84</v>
      </c>
      <c r="AE73" s="435">
        <v>10.66</v>
      </c>
      <c r="AF73" s="456">
        <v>10.54</v>
      </c>
      <c r="AG73" s="414"/>
      <c r="AH73" s="414"/>
    </row>
    <row r="74" spans="22:34" ht="14.25" thickBot="1">
      <c r="V74" s="6" t="s">
        <v>2208</v>
      </c>
      <c r="W74" s="4" t="s">
        <v>538</v>
      </c>
      <c r="X74" s="2"/>
      <c r="Y74" s="432" t="s">
        <v>514</v>
      </c>
      <c r="Z74" s="433">
        <v>0.12</v>
      </c>
      <c r="AA74" s="474" t="s">
        <v>338</v>
      </c>
      <c r="AB74" s="435" t="s">
        <v>539</v>
      </c>
      <c r="AC74" s="456" t="str">
        <f t="shared" si="1"/>
        <v>神奈川県藤沢市</v>
      </c>
      <c r="AD74" s="457">
        <v>10.84</v>
      </c>
      <c r="AE74" s="435">
        <v>10.66</v>
      </c>
      <c r="AF74" s="456">
        <v>10.54</v>
      </c>
      <c r="AG74" s="414"/>
      <c r="AH74" s="414"/>
    </row>
    <row r="75" spans="22:34" ht="14.25" thickBot="1">
      <c r="V75" s="6" t="s">
        <v>2208</v>
      </c>
      <c r="W75" s="4" t="s">
        <v>540</v>
      </c>
      <c r="X75" s="2"/>
      <c r="Y75" s="432" t="s">
        <v>514</v>
      </c>
      <c r="Z75" s="433">
        <v>0.12</v>
      </c>
      <c r="AA75" s="474" t="s">
        <v>338</v>
      </c>
      <c r="AB75" s="435" t="s">
        <v>541</v>
      </c>
      <c r="AC75" s="456" t="str">
        <f t="shared" si="1"/>
        <v>神奈川県逗子市</v>
      </c>
      <c r="AD75" s="457">
        <v>10.84</v>
      </c>
      <c r="AE75" s="435">
        <v>10.66</v>
      </c>
      <c r="AF75" s="456">
        <v>10.54</v>
      </c>
      <c r="AG75" s="414"/>
      <c r="AH75" s="414"/>
    </row>
    <row r="76" spans="22:34" ht="14.25" thickBot="1">
      <c r="V76" s="6" t="s">
        <v>2208</v>
      </c>
      <c r="W76" s="4" t="s">
        <v>542</v>
      </c>
      <c r="X76" s="2"/>
      <c r="Y76" s="432" t="s">
        <v>514</v>
      </c>
      <c r="Z76" s="433">
        <v>0.12</v>
      </c>
      <c r="AA76" s="474" t="s">
        <v>338</v>
      </c>
      <c r="AB76" s="435" t="s">
        <v>543</v>
      </c>
      <c r="AC76" s="456" t="str">
        <f t="shared" si="1"/>
        <v>神奈川県三浦市</v>
      </c>
      <c r="AD76" s="457">
        <v>10.84</v>
      </c>
      <c r="AE76" s="435">
        <v>10.66</v>
      </c>
      <c r="AF76" s="456">
        <v>10.54</v>
      </c>
      <c r="AG76" s="414"/>
      <c r="AH76" s="414"/>
    </row>
    <row r="77" spans="22:34" ht="14.25" thickBot="1">
      <c r="V77" s="6" t="s">
        <v>2208</v>
      </c>
      <c r="W77" s="4" t="s">
        <v>544</v>
      </c>
      <c r="X77" s="2"/>
      <c r="Y77" s="432" t="s">
        <v>514</v>
      </c>
      <c r="Z77" s="433">
        <v>0.12</v>
      </c>
      <c r="AA77" s="474" t="s">
        <v>338</v>
      </c>
      <c r="AB77" s="435" t="s">
        <v>545</v>
      </c>
      <c r="AC77" s="456" t="str">
        <f t="shared" si="1"/>
        <v>神奈川県海老名市</v>
      </c>
      <c r="AD77" s="457">
        <v>10.84</v>
      </c>
      <c r="AE77" s="435">
        <v>10.66</v>
      </c>
      <c r="AF77" s="456">
        <v>10.54</v>
      </c>
      <c r="AG77" s="414"/>
      <c r="AH77" s="414"/>
    </row>
    <row r="78" spans="22:34" ht="14.25" thickBot="1">
      <c r="V78" s="6" t="s">
        <v>2208</v>
      </c>
      <c r="W78" s="4" t="s">
        <v>546</v>
      </c>
      <c r="X78" s="2"/>
      <c r="Y78" s="432" t="s">
        <v>514</v>
      </c>
      <c r="Z78" s="433">
        <v>0.12</v>
      </c>
      <c r="AA78" s="474" t="s">
        <v>393</v>
      </c>
      <c r="AB78" s="435" t="s">
        <v>547</v>
      </c>
      <c r="AC78" s="456" t="str">
        <f t="shared" si="1"/>
        <v>大阪府豊中市</v>
      </c>
      <c r="AD78" s="457">
        <v>10.84</v>
      </c>
      <c r="AE78" s="435">
        <v>10.66</v>
      </c>
      <c r="AF78" s="456">
        <v>10.54</v>
      </c>
      <c r="AG78" s="414"/>
      <c r="AH78" s="414"/>
    </row>
    <row r="79" spans="22:34" ht="14.25" thickBot="1">
      <c r="V79" s="6" t="s">
        <v>2208</v>
      </c>
      <c r="W79" s="4" t="s">
        <v>548</v>
      </c>
      <c r="X79" s="2"/>
      <c r="Y79" s="432" t="s">
        <v>514</v>
      </c>
      <c r="Z79" s="433">
        <v>0.12</v>
      </c>
      <c r="AA79" s="474" t="s">
        <v>393</v>
      </c>
      <c r="AB79" s="435" t="s">
        <v>549</v>
      </c>
      <c r="AC79" s="456" t="str">
        <f t="shared" si="1"/>
        <v>大阪府池田市</v>
      </c>
      <c r="AD79" s="457">
        <v>10.84</v>
      </c>
      <c r="AE79" s="435">
        <v>10.66</v>
      </c>
      <c r="AF79" s="456">
        <v>10.54</v>
      </c>
      <c r="AG79" s="414"/>
      <c r="AH79" s="414"/>
    </row>
    <row r="80" spans="22:34" ht="14.25" thickBot="1">
      <c r="V80" s="6" t="s">
        <v>2208</v>
      </c>
      <c r="W80" s="4" t="s">
        <v>550</v>
      </c>
      <c r="X80" s="2"/>
      <c r="Y80" s="432" t="s">
        <v>514</v>
      </c>
      <c r="Z80" s="433">
        <v>0.12</v>
      </c>
      <c r="AA80" s="474" t="s">
        <v>393</v>
      </c>
      <c r="AB80" s="435" t="s">
        <v>551</v>
      </c>
      <c r="AC80" s="456" t="str">
        <f t="shared" si="1"/>
        <v>大阪府吹田市</v>
      </c>
      <c r="AD80" s="457">
        <v>10.84</v>
      </c>
      <c r="AE80" s="435">
        <v>10.66</v>
      </c>
      <c r="AF80" s="456">
        <v>10.54</v>
      </c>
      <c r="AG80" s="414"/>
      <c r="AH80" s="414"/>
    </row>
    <row r="81" spans="22:34" ht="14.25" thickBot="1">
      <c r="V81" s="6" t="s">
        <v>2208</v>
      </c>
      <c r="W81" s="4" t="s">
        <v>552</v>
      </c>
      <c r="X81" s="2"/>
      <c r="Y81" s="432" t="s">
        <v>514</v>
      </c>
      <c r="Z81" s="433">
        <v>0.12</v>
      </c>
      <c r="AA81" s="474" t="s">
        <v>393</v>
      </c>
      <c r="AB81" s="435" t="s">
        <v>553</v>
      </c>
      <c r="AC81" s="456" t="str">
        <f t="shared" si="1"/>
        <v>大阪府高槻市</v>
      </c>
      <c r="AD81" s="457">
        <v>10.84</v>
      </c>
      <c r="AE81" s="435">
        <v>10.66</v>
      </c>
      <c r="AF81" s="456">
        <v>10.54</v>
      </c>
      <c r="AG81" s="414"/>
      <c r="AH81" s="414"/>
    </row>
    <row r="82" spans="22:34" ht="14.25" thickBot="1">
      <c r="V82" s="6" t="s">
        <v>2208</v>
      </c>
      <c r="W82" s="4" t="s">
        <v>554</v>
      </c>
      <c r="X82" s="2"/>
      <c r="Y82" s="432" t="s">
        <v>514</v>
      </c>
      <c r="Z82" s="433">
        <v>0.12</v>
      </c>
      <c r="AA82" s="474" t="s">
        <v>393</v>
      </c>
      <c r="AB82" s="435" t="s">
        <v>555</v>
      </c>
      <c r="AC82" s="456" t="str">
        <f t="shared" si="1"/>
        <v>大阪府寝屋川市</v>
      </c>
      <c r="AD82" s="457">
        <v>10.84</v>
      </c>
      <c r="AE82" s="435">
        <v>10.66</v>
      </c>
      <c r="AF82" s="456">
        <v>10.54</v>
      </c>
      <c r="AG82" s="414"/>
      <c r="AH82" s="414"/>
    </row>
    <row r="83" spans="22:34" ht="14.25" thickBot="1">
      <c r="V83" s="6" t="s">
        <v>2208</v>
      </c>
      <c r="W83" s="4" t="s">
        <v>556</v>
      </c>
      <c r="X83" s="2"/>
      <c r="Y83" s="432" t="s">
        <v>514</v>
      </c>
      <c r="Z83" s="433">
        <v>0.12</v>
      </c>
      <c r="AA83" s="474" t="s">
        <v>393</v>
      </c>
      <c r="AB83" s="435" t="s">
        <v>557</v>
      </c>
      <c r="AC83" s="456" t="str">
        <f t="shared" si="1"/>
        <v>大阪府箕面市</v>
      </c>
      <c r="AD83" s="457">
        <v>10.84</v>
      </c>
      <c r="AE83" s="435">
        <v>10.66</v>
      </c>
      <c r="AF83" s="456">
        <v>10.54</v>
      </c>
      <c r="AG83" s="414"/>
      <c r="AH83" s="414"/>
    </row>
    <row r="84" spans="22:34" ht="14.25" thickBot="1">
      <c r="V84" s="6" t="s">
        <v>2208</v>
      </c>
      <c r="W84" s="4" t="s">
        <v>558</v>
      </c>
      <c r="X84" s="2"/>
      <c r="Y84" s="432" t="s">
        <v>514</v>
      </c>
      <c r="Z84" s="433">
        <v>0.12</v>
      </c>
      <c r="AA84" s="474" t="s">
        <v>393</v>
      </c>
      <c r="AB84" s="435" t="s">
        <v>559</v>
      </c>
      <c r="AC84" s="456" t="str">
        <f t="shared" si="1"/>
        <v>大阪府四條畷市</v>
      </c>
      <c r="AD84" s="457">
        <v>10.84</v>
      </c>
      <c r="AE84" s="435">
        <v>10.66</v>
      </c>
      <c r="AF84" s="456">
        <v>10.54</v>
      </c>
      <c r="AG84" s="414"/>
      <c r="AH84" s="414"/>
    </row>
    <row r="85" spans="22:34" ht="14.25" thickBot="1">
      <c r="V85" s="6" t="s">
        <v>2208</v>
      </c>
      <c r="W85" s="4" t="s">
        <v>560</v>
      </c>
      <c r="X85" s="2"/>
      <c r="Y85" s="441" t="s">
        <v>514</v>
      </c>
      <c r="Z85" s="442">
        <v>0.12</v>
      </c>
      <c r="AA85" s="475" t="s">
        <v>397</v>
      </c>
      <c r="AB85" s="444" t="s">
        <v>561</v>
      </c>
      <c r="AC85" s="464" t="str">
        <f t="shared" si="1"/>
        <v>兵庫県神戸市</v>
      </c>
      <c r="AD85" s="463">
        <v>10.84</v>
      </c>
      <c r="AE85" s="444">
        <v>10.66</v>
      </c>
      <c r="AF85" s="464">
        <v>10.54</v>
      </c>
      <c r="AG85" s="414"/>
      <c r="AH85" s="414"/>
    </row>
    <row r="86" spans="22:34" ht="14.25" thickBot="1">
      <c r="V86" s="6" t="s">
        <v>2208</v>
      </c>
      <c r="W86" s="4" t="s">
        <v>562</v>
      </c>
      <c r="X86" s="2"/>
      <c r="Y86" s="424" t="s">
        <v>563</v>
      </c>
      <c r="Z86" s="425">
        <v>0.1</v>
      </c>
      <c r="AA86" s="473" t="s">
        <v>313</v>
      </c>
      <c r="AB86" s="427" t="s">
        <v>564</v>
      </c>
      <c r="AC86" s="428" t="str">
        <f t="shared" si="1"/>
        <v>茨城県水戸市</v>
      </c>
      <c r="AD86" s="476">
        <v>10.7</v>
      </c>
      <c r="AE86" s="452">
        <v>10.55</v>
      </c>
      <c r="AF86" s="453">
        <v>10.45</v>
      </c>
      <c r="AG86" s="414"/>
      <c r="AH86" s="414"/>
    </row>
    <row r="87" spans="22:34" ht="14.25" thickBot="1">
      <c r="V87" s="6" t="s">
        <v>2208</v>
      </c>
      <c r="W87" s="4" t="s">
        <v>565</v>
      </c>
      <c r="X87" s="2"/>
      <c r="Y87" s="432" t="s">
        <v>563</v>
      </c>
      <c r="Z87" s="433">
        <v>0.1</v>
      </c>
      <c r="AA87" s="474" t="s">
        <v>313</v>
      </c>
      <c r="AB87" s="435" t="s">
        <v>566</v>
      </c>
      <c r="AC87" s="436" t="str">
        <f t="shared" si="1"/>
        <v>茨城県日立市</v>
      </c>
      <c r="AD87" s="457">
        <v>10.7</v>
      </c>
      <c r="AE87" s="435">
        <v>10.55</v>
      </c>
      <c r="AF87" s="456">
        <v>10.45</v>
      </c>
      <c r="AG87" s="414"/>
      <c r="AH87" s="414"/>
    </row>
    <row r="88" spans="22:34" ht="14.25" thickBot="1">
      <c r="V88" s="6" t="s">
        <v>2208</v>
      </c>
      <c r="W88" s="4" t="s">
        <v>567</v>
      </c>
      <c r="X88" s="2"/>
      <c r="Y88" s="432" t="s">
        <v>563</v>
      </c>
      <c r="Z88" s="433">
        <v>0.1</v>
      </c>
      <c r="AA88" s="474" t="s">
        <v>313</v>
      </c>
      <c r="AB88" s="435" t="s">
        <v>568</v>
      </c>
      <c r="AC88" s="436" t="str">
        <f t="shared" si="1"/>
        <v>茨城県龍ケ崎市</v>
      </c>
      <c r="AD88" s="457">
        <v>10.7</v>
      </c>
      <c r="AE88" s="435">
        <v>10.55</v>
      </c>
      <c r="AF88" s="456">
        <v>10.45</v>
      </c>
      <c r="AG88" s="414"/>
      <c r="AH88" s="414"/>
    </row>
    <row r="89" spans="22:34" ht="14.25" thickBot="1">
      <c r="V89" s="6" t="s">
        <v>2208</v>
      </c>
      <c r="W89" s="4" t="s">
        <v>569</v>
      </c>
      <c r="X89" s="2"/>
      <c r="Y89" s="432" t="s">
        <v>563</v>
      </c>
      <c r="Z89" s="433">
        <v>0.1</v>
      </c>
      <c r="AA89" s="474" t="s">
        <v>313</v>
      </c>
      <c r="AB89" s="435" t="s">
        <v>570</v>
      </c>
      <c r="AC89" s="436" t="str">
        <f t="shared" si="1"/>
        <v>茨城県取手市</v>
      </c>
      <c r="AD89" s="457">
        <v>10.7</v>
      </c>
      <c r="AE89" s="435">
        <v>10.55</v>
      </c>
      <c r="AF89" s="456">
        <v>10.45</v>
      </c>
      <c r="AG89" s="414"/>
      <c r="AH89" s="414"/>
    </row>
    <row r="90" spans="22:34" ht="14.25" thickBot="1">
      <c r="V90" s="6" t="s">
        <v>2208</v>
      </c>
      <c r="W90" s="4" t="s">
        <v>571</v>
      </c>
      <c r="X90" s="2"/>
      <c r="Y90" s="432" t="s">
        <v>563</v>
      </c>
      <c r="Z90" s="433">
        <v>0.1</v>
      </c>
      <c r="AA90" s="474" t="s">
        <v>313</v>
      </c>
      <c r="AB90" s="435" t="s">
        <v>572</v>
      </c>
      <c r="AC90" s="436" t="str">
        <f t="shared" si="1"/>
        <v>茨城県つくば市</v>
      </c>
      <c r="AD90" s="457">
        <v>10.7</v>
      </c>
      <c r="AE90" s="435">
        <v>10.55</v>
      </c>
      <c r="AF90" s="456">
        <v>10.45</v>
      </c>
      <c r="AG90" s="414"/>
      <c r="AH90" s="414"/>
    </row>
    <row r="91" spans="22:34" ht="14.25" thickBot="1">
      <c r="V91" s="6" t="s">
        <v>2208</v>
      </c>
      <c r="W91" s="4" t="s">
        <v>573</v>
      </c>
      <c r="X91" s="2"/>
      <c r="Y91" s="432" t="s">
        <v>563</v>
      </c>
      <c r="Z91" s="433">
        <v>0.1</v>
      </c>
      <c r="AA91" s="474" t="s">
        <v>313</v>
      </c>
      <c r="AB91" s="435" t="s">
        <v>574</v>
      </c>
      <c r="AC91" s="436" t="str">
        <f t="shared" si="1"/>
        <v>茨城県守谷市</v>
      </c>
      <c r="AD91" s="457">
        <v>10.7</v>
      </c>
      <c r="AE91" s="435">
        <v>10.55</v>
      </c>
      <c r="AF91" s="456">
        <v>10.45</v>
      </c>
      <c r="AG91" s="414"/>
      <c r="AH91" s="414"/>
    </row>
    <row r="92" spans="22:34" ht="14.25" thickBot="1">
      <c r="V92" s="6" t="s">
        <v>2208</v>
      </c>
      <c r="W92" s="4" t="s">
        <v>575</v>
      </c>
      <c r="X92" s="2"/>
      <c r="Y92" s="432" t="s">
        <v>563</v>
      </c>
      <c r="Z92" s="433">
        <v>0.1</v>
      </c>
      <c r="AA92" s="474" t="s">
        <v>326</v>
      </c>
      <c r="AB92" s="435" t="s">
        <v>576</v>
      </c>
      <c r="AC92" s="436" t="str">
        <f t="shared" si="1"/>
        <v>埼玉県川口市</v>
      </c>
      <c r="AD92" s="457">
        <v>10.7</v>
      </c>
      <c r="AE92" s="435">
        <v>10.55</v>
      </c>
      <c r="AF92" s="456">
        <v>10.45</v>
      </c>
      <c r="AG92" s="414"/>
      <c r="AH92" s="414"/>
    </row>
    <row r="93" spans="22:34" ht="14.25" thickBot="1">
      <c r="V93" s="6" t="s">
        <v>2208</v>
      </c>
      <c r="W93" s="4" t="s">
        <v>577</v>
      </c>
      <c r="X93" s="2"/>
      <c r="Y93" s="432" t="s">
        <v>563</v>
      </c>
      <c r="Z93" s="433">
        <v>0.1</v>
      </c>
      <c r="AA93" s="474" t="s">
        <v>326</v>
      </c>
      <c r="AB93" s="435" t="s">
        <v>578</v>
      </c>
      <c r="AC93" s="436" t="str">
        <f t="shared" si="1"/>
        <v>埼玉県草加市</v>
      </c>
      <c r="AD93" s="457">
        <v>10.7</v>
      </c>
      <c r="AE93" s="435">
        <v>10.55</v>
      </c>
      <c r="AF93" s="456">
        <v>10.45</v>
      </c>
      <c r="AG93" s="414"/>
      <c r="AH93" s="414"/>
    </row>
    <row r="94" spans="22:34" ht="14.25" thickBot="1">
      <c r="V94" s="6" t="s">
        <v>2208</v>
      </c>
      <c r="W94" s="4" t="s">
        <v>579</v>
      </c>
      <c r="X94" s="2"/>
      <c r="Y94" s="432" t="s">
        <v>563</v>
      </c>
      <c r="Z94" s="433">
        <v>0.1</v>
      </c>
      <c r="AA94" s="474" t="s">
        <v>326</v>
      </c>
      <c r="AB94" s="435" t="s">
        <v>580</v>
      </c>
      <c r="AC94" s="436" t="str">
        <f t="shared" si="1"/>
        <v>埼玉県戸田市</v>
      </c>
      <c r="AD94" s="457">
        <v>10.7</v>
      </c>
      <c r="AE94" s="435">
        <v>10.55</v>
      </c>
      <c r="AF94" s="456">
        <v>10.45</v>
      </c>
      <c r="AG94" s="414"/>
      <c r="AH94" s="414"/>
    </row>
    <row r="95" spans="22:34" ht="14.25" thickBot="1">
      <c r="V95" s="6" t="s">
        <v>2208</v>
      </c>
      <c r="W95" s="4" t="s">
        <v>581</v>
      </c>
      <c r="X95" s="2"/>
      <c r="Y95" s="432" t="s">
        <v>563</v>
      </c>
      <c r="Z95" s="433">
        <v>0.1</v>
      </c>
      <c r="AA95" s="474" t="s">
        <v>326</v>
      </c>
      <c r="AB95" s="435" t="s">
        <v>582</v>
      </c>
      <c r="AC95" s="436" t="str">
        <f t="shared" si="1"/>
        <v>埼玉県新座市</v>
      </c>
      <c r="AD95" s="457">
        <v>10.7</v>
      </c>
      <c r="AE95" s="435">
        <v>10.55</v>
      </c>
      <c r="AF95" s="456">
        <v>10.45</v>
      </c>
      <c r="AG95" s="414"/>
      <c r="AH95" s="414"/>
    </row>
    <row r="96" spans="22:34" ht="14.25" thickBot="1">
      <c r="V96" s="6" t="s">
        <v>2208</v>
      </c>
      <c r="W96" s="4" t="s">
        <v>583</v>
      </c>
      <c r="X96" s="2"/>
      <c r="Y96" s="432" t="s">
        <v>563</v>
      </c>
      <c r="Z96" s="433">
        <v>0.1</v>
      </c>
      <c r="AA96" s="474" t="s">
        <v>326</v>
      </c>
      <c r="AB96" s="435" t="s">
        <v>584</v>
      </c>
      <c r="AC96" s="436" t="str">
        <f t="shared" si="1"/>
        <v>埼玉県八潮市</v>
      </c>
      <c r="AD96" s="457">
        <v>10.7</v>
      </c>
      <c r="AE96" s="435">
        <v>10.55</v>
      </c>
      <c r="AF96" s="456">
        <v>10.45</v>
      </c>
      <c r="AG96" s="414"/>
      <c r="AH96" s="414"/>
    </row>
    <row r="97" spans="22:34" ht="14.25" thickBot="1">
      <c r="V97" s="6" t="s">
        <v>2208</v>
      </c>
      <c r="W97" s="4" t="s">
        <v>585</v>
      </c>
      <c r="X97" s="2"/>
      <c r="Y97" s="432" t="s">
        <v>563</v>
      </c>
      <c r="Z97" s="433">
        <v>0.1</v>
      </c>
      <c r="AA97" s="474" t="s">
        <v>326</v>
      </c>
      <c r="AB97" s="435" t="s">
        <v>586</v>
      </c>
      <c r="AC97" s="436" t="str">
        <f t="shared" si="1"/>
        <v>埼玉県ふじみ野市</v>
      </c>
      <c r="AD97" s="457">
        <v>10.7</v>
      </c>
      <c r="AE97" s="435">
        <v>10.55</v>
      </c>
      <c r="AF97" s="456">
        <v>10.45</v>
      </c>
      <c r="AG97" s="414"/>
      <c r="AH97" s="414"/>
    </row>
    <row r="98" spans="22:34" ht="14.25" thickBot="1">
      <c r="V98" s="6" t="s">
        <v>2208</v>
      </c>
      <c r="W98" s="4" t="s">
        <v>587</v>
      </c>
      <c r="X98" s="2"/>
      <c r="Y98" s="432" t="s">
        <v>563</v>
      </c>
      <c r="Z98" s="433">
        <v>0.1</v>
      </c>
      <c r="AA98" s="474" t="s">
        <v>331</v>
      </c>
      <c r="AB98" s="435" t="s">
        <v>588</v>
      </c>
      <c r="AC98" s="436" t="str">
        <f t="shared" si="1"/>
        <v>千葉県市川市</v>
      </c>
      <c r="AD98" s="457">
        <v>10.7</v>
      </c>
      <c r="AE98" s="435">
        <v>10.55</v>
      </c>
      <c r="AF98" s="456">
        <v>10.45</v>
      </c>
      <c r="AG98" s="414"/>
      <c r="AH98" s="414"/>
    </row>
    <row r="99" spans="22:34" ht="14.25" thickBot="1">
      <c r="V99" s="6" t="s">
        <v>2208</v>
      </c>
      <c r="W99" s="4" t="s">
        <v>589</v>
      </c>
      <c r="X99" s="2"/>
      <c r="Y99" s="432" t="s">
        <v>563</v>
      </c>
      <c r="Z99" s="433">
        <v>0.1</v>
      </c>
      <c r="AA99" s="474" t="s">
        <v>331</v>
      </c>
      <c r="AB99" s="435" t="s">
        <v>590</v>
      </c>
      <c r="AC99" s="436" t="str">
        <f t="shared" si="1"/>
        <v>千葉県松戸市</v>
      </c>
      <c r="AD99" s="457">
        <v>10.7</v>
      </c>
      <c r="AE99" s="435">
        <v>10.55</v>
      </c>
      <c r="AF99" s="456">
        <v>10.45</v>
      </c>
      <c r="AG99" s="414"/>
      <c r="AH99" s="414"/>
    </row>
    <row r="100" spans="22:34" ht="14.25" thickBot="1">
      <c r="V100" s="6" t="s">
        <v>2208</v>
      </c>
      <c r="W100" s="4" t="s">
        <v>591</v>
      </c>
      <c r="X100" s="2"/>
      <c r="Y100" s="432" t="s">
        <v>563</v>
      </c>
      <c r="Z100" s="433">
        <v>0.1</v>
      </c>
      <c r="AA100" s="474" t="s">
        <v>331</v>
      </c>
      <c r="AB100" s="435" t="s">
        <v>592</v>
      </c>
      <c r="AC100" s="436" t="str">
        <f t="shared" si="1"/>
        <v>千葉県佐倉市</v>
      </c>
      <c r="AD100" s="457">
        <v>10.7</v>
      </c>
      <c r="AE100" s="435">
        <v>10.55</v>
      </c>
      <c r="AF100" s="456">
        <v>10.45</v>
      </c>
      <c r="AG100" s="414"/>
      <c r="AH100" s="414"/>
    </row>
    <row r="101" spans="22:34" ht="14.25" thickBot="1">
      <c r="V101" s="6" t="s">
        <v>2208</v>
      </c>
      <c r="W101" s="4" t="s">
        <v>593</v>
      </c>
      <c r="X101" s="2"/>
      <c r="Y101" s="432" t="s">
        <v>563</v>
      </c>
      <c r="Z101" s="433">
        <v>0.1</v>
      </c>
      <c r="AA101" s="474" t="s">
        <v>331</v>
      </c>
      <c r="AB101" s="435" t="s">
        <v>594</v>
      </c>
      <c r="AC101" s="436" t="str">
        <f t="shared" si="1"/>
        <v>千葉県市原市</v>
      </c>
      <c r="AD101" s="457">
        <v>10.7</v>
      </c>
      <c r="AE101" s="435">
        <v>10.55</v>
      </c>
      <c r="AF101" s="456">
        <v>10.45</v>
      </c>
      <c r="AG101" s="414"/>
      <c r="AH101" s="414"/>
    </row>
    <row r="102" spans="22:34" ht="14.25" thickBot="1">
      <c r="V102" s="6" t="s">
        <v>2208</v>
      </c>
      <c r="W102" s="4" t="s">
        <v>595</v>
      </c>
      <c r="X102" s="2"/>
      <c r="Y102" s="432" t="s">
        <v>563</v>
      </c>
      <c r="Z102" s="433">
        <v>0.1</v>
      </c>
      <c r="AA102" s="474" t="s">
        <v>596</v>
      </c>
      <c r="AB102" s="435" t="s">
        <v>597</v>
      </c>
      <c r="AC102" s="436" t="str">
        <f t="shared" si="1"/>
        <v>千葉県八千代市</v>
      </c>
      <c r="AD102" s="457">
        <v>10.7</v>
      </c>
      <c r="AE102" s="435">
        <v>10.55</v>
      </c>
      <c r="AF102" s="456">
        <v>10.45</v>
      </c>
      <c r="AG102" s="414"/>
      <c r="AH102" s="414"/>
    </row>
    <row r="103" spans="22:34" ht="14.25" thickBot="1">
      <c r="V103" s="6" t="s">
        <v>2208</v>
      </c>
      <c r="W103" s="4" t="s">
        <v>598</v>
      </c>
      <c r="X103" s="2"/>
      <c r="Y103" s="432" t="s">
        <v>563</v>
      </c>
      <c r="Z103" s="433">
        <v>0.1</v>
      </c>
      <c r="AA103" s="474" t="s">
        <v>331</v>
      </c>
      <c r="AB103" s="435" t="s">
        <v>599</v>
      </c>
      <c r="AC103" s="436" t="str">
        <f t="shared" si="1"/>
        <v>千葉県四街道市</v>
      </c>
      <c r="AD103" s="457">
        <v>10.7</v>
      </c>
      <c r="AE103" s="435">
        <v>10.55</v>
      </c>
      <c r="AF103" s="456">
        <v>10.45</v>
      </c>
      <c r="AG103" s="414"/>
      <c r="AH103" s="414"/>
    </row>
    <row r="104" spans="22:34" ht="14.25" thickBot="1">
      <c r="V104" s="6" t="s">
        <v>2208</v>
      </c>
      <c r="W104" s="4" t="s">
        <v>600</v>
      </c>
      <c r="X104" s="2"/>
      <c r="Y104" s="432" t="s">
        <v>563</v>
      </c>
      <c r="Z104" s="433">
        <v>0.1</v>
      </c>
      <c r="AA104" s="474" t="s">
        <v>331</v>
      </c>
      <c r="AB104" s="435" t="s">
        <v>601</v>
      </c>
      <c r="AC104" s="436" t="str">
        <f t="shared" si="1"/>
        <v>千葉県袖ケ浦市</v>
      </c>
      <c r="AD104" s="457">
        <v>10.7</v>
      </c>
      <c r="AE104" s="435">
        <v>10.55</v>
      </c>
      <c r="AF104" s="456">
        <v>10.45</v>
      </c>
      <c r="AG104" s="414"/>
      <c r="AH104" s="414"/>
    </row>
    <row r="105" spans="22:34" ht="14.25" thickBot="1">
      <c r="V105" s="6" t="s">
        <v>2208</v>
      </c>
      <c r="W105" s="4" t="s">
        <v>602</v>
      </c>
      <c r="X105" s="2"/>
      <c r="Y105" s="432" t="s">
        <v>563</v>
      </c>
      <c r="Z105" s="433">
        <v>0.1</v>
      </c>
      <c r="AA105" s="474" t="s">
        <v>331</v>
      </c>
      <c r="AB105" s="435" t="s">
        <v>603</v>
      </c>
      <c r="AC105" s="436" t="str">
        <f t="shared" si="1"/>
        <v>千葉県印西市</v>
      </c>
      <c r="AD105" s="457">
        <v>10.7</v>
      </c>
      <c r="AE105" s="435">
        <v>10.55</v>
      </c>
      <c r="AF105" s="456">
        <v>10.45</v>
      </c>
      <c r="AG105" s="414"/>
      <c r="AH105" s="414"/>
    </row>
    <row r="106" spans="22:34" ht="14.25" thickBot="1">
      <c r="V106" s="6" t="s">
        <v>2208</v>
      </c>
      <c r="W106" s="4" t="s">
        <v>604</v>
      </c>
      <c r="X106" s="2"/>
      <c r="Y106" s="432" t="s">
        <v>563</v>
      </c>
      <c r="Z106" s="433">
        <v>0.1</v>
      </c>
      <c r="AA106" s="474" t="s">
        <v>331</v>
      </c>
      <c r="AB106" s="435" t="s">
        <v>605</v>
      </c>
      <c r="AC106" s="436" t="str">
        <f t="shared" si="1"/>
        <v>千葉県栄町</v>
      </c>
      <c r="AD106" s="457">
        <v>10.7</v>
      </c>
      <c r="AE106" s="435">
        <v>10.55</v>
      </c>
      <c r="AF106" s="456">
        <v>10.45</v>
      </c>
      <c r="AG106" s="414"/>
      <c r="AH106" s="414"/>
    </row>
    <row r="107" spans="22:34" ht="14.25" thickBot="1">
      <c r="V107" s="6" t="s">
        <v>2208</v>
      </c>
      <c r="W107" s="4" t="s">
        <v>606</v>
      </c>
      <c r="X107" s="2"/>
      <c r="Y107" s="432" t="s">
        <v>563</v>
      </c>
      <c r="Z107" s="433">
        <v>0.1</v>
      </c>
      <c r="AA107" s="474" t="s">
        <v>4</v>
      </c>
      <c r="AB107" s="435" t="s">
        <v>607</v>
      </c>
      <c r="AC107" s="436" t="str">
        <f t="shared" si="1"/>
        <v>東京都福生市</v>
      </c>
      <c r="AD107" s="457">
        <v>10.7</v>
      </c>
      <c r="AE107" s="435">
        <v>10.55</v>
      </c>
      <c r="AF107" s="456">
        <v>10.45</v>
      </c>
      <c r="AG107" s="414"/>
      <c r="AH107" s="414"/>
    </row>
    <row r="108" spans="22:34" ht="14.25" thickBot="1">
      <c r="V108" s="6" t="s">
        <v>2208</v>
      </c>
      <c r="W108" s="4" t="s">
        <v>608</v>
      </c>
      <c r="X108" s="2"/>
      <c r="Y108" s="432" t="s">
        <v>563</v>
      </c>
      <c r="Z108" s="433">
        <v>0.1</v>
      </c>
      <c r="AA108" s="474" t="s">
        <v>4</v>
      </c>
      <c r="AB108" s="435" t="s">
        <v>609</v>
      </c>
      <c r="AC108" s="436" t="str">
        <f t="shared" si="1"/>
        <v>東京都あきる野市</v>
      </c>
      <c r="AD108" s="457">
        <v>10.7</v>
      </c>
      <c r="AE108" s="435">
        <v>10.55</v>
      </c>
      <c r="AF108" s="456">
        <v>10.45</v>
      </c>
      <c r="AG108" s="414"/>
      <c r="AH108" s="414"/>
    </row>
    <row r="109" spans="22:34" ht="14.25" thickBot="1">
      <c r="V109" s="6" t="s">
        <v>2208</v>
      </c>
      <c r="W109" s="4" t="s">
        <v>610</v>
      </c>
      <c r="X109" s="2"/>
      <c r="Y109" s="432" t="s">
        <v>563</v>
      </c>
      <c r="Z109" s="433">
        <v>0.1</v>
      </c>
      <c r="AA109" s="474" t="s">
        <v>4</v>
      </c>
      <c r="AB109" s="435" t="s">
        <v>611</v>
      </c>
      <c r="AC109" s="436" t="str">
        <f t="shared" si="1"/>
        <v>東京都日の出町</v>
      </c>
      <c r="AD109" s="457">
        <v>10.7</v>
      </c>
      <c r="AE109" s="435">
        <v>10.55</v>
      </c>
      <c r="AF109" s="456">
        <v>10.45</v>
      </c>
      <c r="AG109" s="414"/>
      <c r="AH109" s="414"/>
    </row>
    <row r="110" spans="22:34" ht="14.25" thickBot="1">
      <c r="V110" s="6" t="s">
        <v>2208</v>
      </c>
      <c r="W110" s="4" t="s">
        <v>612</v>
      </c>
      <c r="X110" s="2"/>
      <c r="Y110" s="432" t="s">
        <v>563</v>
      </c>
      <c r="Z110" s="433">
        <v>0.1</v>
      </c>
      <c r="AA110" s="474" t="s">
        <v>338</v>
      </c>
      <c r="AB110" s="435" t="s">
        <v>613</v>
      </c>
      <c r="AC110" s="436" t="str">
        <f t="shared" si="1"/>
        <v>神奈川県平塚市</v>
      </c>
      <c r="AD110" s="457">
        <v>10.7</v>
      </c>
      <c r="AE110" s="435">
        <v>10.55</v>
      </c>
      <c r="AF110" s="456">
        <v>10.45</v>
      </c>
      <c r="AG110" s="414"/>
      <c r="AH110" s="414"/>
    </row>
    <row r="111" spans="22:34" ht="14.25" thickBot="1">
      <c r="V111" s="6" t="s">
        <v>2208</v>
      </c>
      <c r="W111" s="4" t="s">
        <v>614</v>
      </c>
      <c r="X111" s="2"/>
      <c r="Y111" s="432" t="s">
        <v>563</v>
      </c>
      <c r="Z111" s="433">
        <v>0.1</v>
      </c>
      <c r="AA111" s="474" t="s">
        <v>338</v>
      </c>
      <c r="AB111" s="435" t="s">
        <v>615</v>
      </c>
      <c r="AC111" s="436" t="str">
        <f t="shared" si="1"/>
        <v>神奈川県小田原市</v>
      </c>
      <c r="AD111" s="457">
        <v>10.7</v>
      </c>
      <c r="AE111" s="435">
        <v>10.55</v>
      </c>
      <c r="AF111" s="456">
        <v>10.45</v>
      </c>
      <c r="AG111" s="414"/>
      <c r="AH111" s="414"/>
    </row>
    <row r="112" spans="22:34" ht="14.25" thickBot="1">
      <c r="V112" s="6" t="s">
        <v>2208</v>
      </c>
      <c r="W112" s="4" t="s">
        <v>616</v>
      </c>
      <c r="X112" s="2"/>
      <c r="Y112" s="432" t="s">
        <v>563</v>
      </c>
      <c r="Z112" s="433">
        <v>0.1</v>
      </c>
      <c r="AA112" s="474" t="s">
        <v>338</v>
      </c>
      <c r="AB112" s="435" t="s">
        <v>617</v>
      </c>
      <c r="AC112" s="436" t="str">
        <f t="shared" si="1"/>
        <v>神奈川県茅ヶ崎市</v>
      </c>
      <c r="AD112" s="457">
        <v>10.7</v>
      </c>
      <c r="AE112" s="435">
        <v>10.55</v>
      </c>
      <c r="AF112" s="456">
        <v>10.45</v>
      </c>
      <c r="AG112" s="414"/>
      <c r="AH112" s="414"/>
    </row>
    <row r="113" spans="22:34" ht="14.25" thickBot="1">
      <c r="V113" s="6" t="s">
        <v>2208</v>
      </c>
      <c r="W113" s="4" t="s">
        <v>618</v>
      </c>
      <c r="X113" s="2"/>
      <c r="Y113" s="432" t="s">
        <v>563</v>
      </c>
      <c r="Z113" s="433">
        <v>0.1</v>
      </c>
      <c r="AA113" s="474" t="s">
        <v>338</v>
      </c>
      <c r="AB113" s="435" t="s">
        <v>619</v>
      </c>
      <c r="AC113" s="436" t="str">
        <f t="shared" si="1"/>
        <v>神奈川県大和市</v>
      </c>
      <c r="AD113" s="457">
        <v>10.7</v>
      </c>
      <c r="AE113" s="435">
        <v>10.55</v>
      </c>
      <c r="AF113" s="456">
        <v>10.45</v>
      </c>
      <c r="AG113" s="414"/>
      <c r="AH113" s="414"/>
    </row>
    <row r="114" spans="22:34" ht="14.25" thickBot="1">
      <c r="V114" s="6" t="s">
        <v>2208</v>
      </c>
      <c r="W114" s="4" t="s">
        <v>620</v>
      </c>
      <c r="X114" s="2"/>
      <c r="Y114" s="432" t="s">
        <v>563</v>
      </c>
      <c r="Z114" s="433">
        <v>0.1</v>
      </c>
      <c r="AA114" s="474" t="s">
        <v>338</v>
      </c>
      <c r="AB114" s="435" t="s">
        <v>621</v>
      </c>
      <c r="AC114" s="436" t="str">
        <f t="shared" si="1"/>
        <v>神奈川県伊勢原市</v>
      </c>
      <c r="AD114" s="457">
        <v>10.7</v>
      </c>
      <c r="AE114" s="435">
        <v>10.55</v>
      </c>
      <c r="AF114" s="456">
        <v>10.45</v>
      </c>
      <c r="AG114" s="414"/>
      <c r="AH114" s="414"/>
    </row>
    <row r="115" spans="22:34" ht="14.25" thickBot="1">
      <c r="V115" s="6" t="s">
        <v>2208</v>
      </c>
      <c r="W115" s="4" t="s">
        <v>622</v>
      </c>
      <c r="X115" s="2"/>
      <c r="Y115" s="432" t="s">
        <v>563</v>
      </c>
      <c r="Z115" s="433">
        <v>0.1</v>
      </c>
      <c r="AA115" s="474" t="s">
        <v>338</v>
      </c>
      <c r="AB115" s="435" t="s">
        <v>623</v>
      </c>
      <c r="AC115" s="436" t="str">
        <f t="shared" si="1"/>
        <v>神奈川県座間市</v>
      </c>
      <c r="AD115" s="457">
        <v>10.7</v>
      </c>
      <c r="AE115" s="435">
        <v>10.55</v>
      </c>
      <c r="AF115" s="456">
        <v>10.45</v>
      </c>
      <c r="AG115" s="414"/>
      <c r="AH115" s="414"/>
    </row>
    <row r="116" spans="22:34" ht="14.25" thickBot="1">
      <c r="V116" s="6" t="s">
        <v>2208</v>
      </c>
      <c r="W116" s="4" t="s">
        <v>624</v>
      </c>
      <c r="X116" s="2"/>
      <c r="Y116" s="432" t="s">
        <v>563</v>
      </c>
      <c r="Z116" s="433">
        <v>0.1</v>
      </c>
      <c r="AA116" s="474" t="s">
        <v>338</v>
      </c>
      <c r="AB116" s="435" t="s">
        <v>625</v>
      </c>
      <c r="AC116" s="436" t="str">
        <f t="shared" si="1"/>
        <v>神奈川県綾瀬市</v>
      </c>
      <c r="AD116" s="457">
        <v>10.7</v>
      </c>
      <c r="AE116" s="435">
        <v>10.55</v>
      </c>
      <c r="AF116" s="456">
        <v>10.45</v>
      </c>
      <c r="AG116" s="414"/>
      <c r="AH116" s="414"/>
    </row>
    <row r="117" spans="22:34" ht="14.25" thickBot="1">
      <c r="V117" s="6" t="s">
        <v>2208</v>
      </c>
      <c r="W117" s="4" t="s">
        <v>626</v>
      </c>
      <c r="X117" s="2"/>
      <c r="Y117" s="432" t="s">
        <v>563</v>
      </c>
      <c r="Z117" s="433">
        <v>0.1</v>
      </c>
      <c r="AA117" s="474" t="s">
        <v>338</v>
      </c>
      <c r="AB117" s="435" t="s">
        <v>627</v>
      </c>
      <c r="AC117" s="436" t="str">
        <f t="shared" si="1"/>
        <v>神奈川県葉山町</v>
      </c>
      <c r="AD117" s="457">
        <v>10.7</v>
      </c>
      <c r="AE117" s="435">
        <v>10.55</v>
      </c>
      <c r="AF117" s="456">
        <v>10.45</v>
      </c>
      <c r="AG117" s="414"/>
      <c r="AH117" s="414"/>
    </row>
    <row r="118" spans="22:34" ht="14.25" thickBot="1">
      <c r="V118" s="6" t="s">
        <v>2208</v>
      </c>
      <c r="W118" s="4" t="s">
        <v>628</v>
      </c>
      <c r="X118" s="2"/>
      <c r="Y118" s="432" t="s">
        <v>563</v>
      </c>
      <c r="Z118" s="433">
        <v>0.1</v>
      </c>
      <c r="AA118" s="474" t="s">
        <v>338</v>
      </c>
      <c r="AB118" s="435" t="s">
        <v>629</v>
      </c>
      <c r="AC118" s="436" t="str">
        <f t="shared" si="1"/>
        <v>神奈川県寒川町</v>
      </c>
      <c r="AD118" s="457">
        <v>10.7</v>
      </c>
      <c r="AE118" s="435">
        <v>10.55</v>
      </c>
      <c r="AF118" s="456">
        <v>10.45</v>
      </c>
      <c r="AG118" s="414"/>
      <c r="AH118" s="414"/>
    </row>
    <row r="119" spans="22:34" ht="14.25" thickBot="1">
      <c r="V119" s="6" t="s">
        <v>2208</v>
      </c>
      <c r="W119" s="4" t="s">
        <v>630</v>
      </c>
      <c r="X119" s="2"/>
      <c r="Y119" s="432" t="s">
        <v>563</v>
      </c>
      <c r="Z119" s="433">
        <v>0.1</v>
      </c>
      <c r="AA119" s="474" t="s">
        <v>338</v>
      </c>
      <c r="AB119" s="435" t="s">
        <v>631</v>
      </c>
      <c r="AC119" s="436" t="str">
        <f t="shared" si="1"/>
        <v>神奈川県愛川町</v>
      </c>
      <c r="AD119" s="457">
        <v>10.7</v>
      </c>
      <c r="AE119" s="435">
        <v>10.55</v>
      </c>
      <c r="AF119" s="456">
        <v>10.45</v>
      </c>
      <c r="AG119" s="414"/>
      <c r="AH119" s="414"/>
    </row>
    <row r="120" spans="22:34" ht="14.25" thickBot="1">
      <c r="V120" s="6" t="s">
        <v>2208</v>
      </c>
      <c r="W120" s="4" t="s">
        <v>632</v>
      </c>
      <c r="X120" s="2"/>
      <c r="Y120" s="432" t="s">
        <v>563</v>
      </c>
      <c r="Z120" s="433">
        <v>0.1</v>
      </c>
      <c r="AA120" s="474" t="s">
        <v>633</v>
      </c>
      <c r="AB120" s="435" t="s">
        <v>634</v>
      </c>
      <c r="AC120" s="436" t="str">
        <f t="shared" si="1"/>
        <v>愛知県知立市</v>
      </c>
      <c r="AD120" s="457">
        <v>10.7</v>
      </c>
      <c r="AE120" s="435">
        <v>10.55</v>
      </c>
      <c r="AF120" s="456">
        <v>10.45</v>
      </c>
      <c r="AG120" s="414"/>
      <c r="AH120" s="414"/>
    </row>
    <row r="121" spans="22:34" ht="14.25" thickBot="1">
      <c r="V121" s="6" t="s">
        <v>2208</v>
      </c>
      <c r="W121" s="4" t="s">
        <v>635</v>
      </c>
      <c r="X121" s="2"/>
      <c r="Y121" s="432" t="s">
        <v>563</v>
      </c>
      <c r="Z121" s="433">
        <v>0.1</v>
      </c>
      <c r="AA121" s="474" t="s">
        <v>633</v>
      </c>
      <c r="AB121" s="435" t="s">
        <v>636</v>
      </c>
      <c r="AC121" s="436" t="str">
        <f t="shared" si="1"/>
        <v>愛知県豊明市</v>
      </c>
      <c r="AD121" s="457">
        <v>10.7</v>
      </c>
      <c r="AE121" s="435">
        <v>10.55</v>
      </c>
      <c r="AF121" s="456">
        <v>10.45</v>
      </c>
      <c r="AG121" s="414"/>
      <c r="AH121" s="414"/>
    </row>
    <row r="122" spans="22:34" ht="14.25" thickBot="1">
      <c r="V122" s="6" t="s">
        <v>2208</v>
      </c>
      <c r="W122" s="4" t="s">
        <v>637</v>
      </c>
      <c r="X122" s="2"/>
      <c r="Y122" s="432" t="s">
        <v>563</v>
      </c>
      <c r="Z122" s="433">
        <v>0.1</v>
      </c>
      <c r="AA122" s="474" t="s">
        <v>633</v>
      </c>
      <c r="AB122" s="435" t="s">
        <v>638</v>
      </c>
      <c r="AC122" s="436" t="str">
        <f t="shared" si="1"/>
        <v>愛知県みよし市</v>
      </c>
      <c r="AD122" s="457">
        <v>10.7</v>
      </c>
      <c r="AE122" s="435">
        <v>10.55</v>
      </c>
      <c r="AF122" s="456">
        <v>10.45</v>
      </c>
      <c r="AG122" s="414"/>
      <c r="AH122" s="414"/>
    </row>
    <row r="123" spans="22:34" ht="14.25" thickBot="1">
      <c r="V123" s="6" t="s">
        <v>2208</v>
      </c>
      <c r="W123" s="4" t="s">
        <v>639</v>
      </c>
      <c r="X123" s="2"/>
      <c r="Y123" s="432" t="s">
        <v>563</v>
      </c>
      <c r="Z123" s="433">
        <v>0.1</v>
      </c>
      <c r="AA123" s="474" t="s">
        <v>385</v>
      </c>
      <c r="AB123" s="435" t="s">
        <v>640</v>
      </c>
      <c r="AC123" s="436" t="str">
        <f t="shared" si="1"/>
        <v>滋賀県大津市</v>
      </c>
      <c r="AD123" s="457">
        <v>10.7</v>
      </c>
      <c r="AE123" s="435">
        <v>10.55</v>
      </c>
      <c r="AF123" s="456">
        <v>10.45</v>
      </c>
      <c r="AG123" s="414"/>
      <c r="AH123" s="414"/>
    </row>
    <row r="124" spans="22:34" ht="14.25" thickBot="1">
      <c r="V124" s="6" t="s">
        <v>2208</v>
      </c>
      <c r="W124" s="4" t="s">
        <v>641</v>
      </c>
      <c r="X124" s="2"/>
      <c r="Y124" s="432" t="s">
        <v>563</v>
      </c>
      <c r="Z124" s="433">
        <v>0.1</v>
      </c>
      <c r="AA124" s="474" t="s">
        <v>385</v>
      </c>
      <c r="AB124" s="435" t="s">
        <v>642</v>
      </c>
      <c r="AC124" s="436" t="str">
        <f t="shared" si="1"/>
        <v>滋賀県草津市</v>
      </c>
      <c r="AD124" s="457">
        <v>10.7</v>
      </c>
      <c r="AE124" s="435">
        <v>10.55</v>
      </c>
      <c r="AF124" s="456">
        <v>10.45</v>
      </c>
      <c r="AG124" s="414"/>
      <c r="AH124" s="414"/>
    </row>
    <row r="125" spans="22:34" ht="14.25" thickBot="1">
      <c r="V125" s="6" t="s">
        <v>2208</v>
      </c>
      <c r="W125" s="4" t="s">
        <v>643</v>
      </c>
      <c r="X125" s="2"/>
      <c r="Y125" s="432" t="s">
        <v>563</v>
      </c>
      <c r="Z125" s="433">
        <v>0.1</v>
      </c>
      <c r="AA125" s="474" t="s">
        <v>385</v>
      </c>
      <c r="AB125" s="435" t="s">
        <v>644</v>
      </c>
      <c r="AC125" s="436" t="str">
        <f t="shared" si="1"/>
        <v>滋賀県栗東市</v>
      </c>
      <c r="AD125" s="457">
        <v>10.7</v>
      </c>
      <c r="AE125" s="435">
        <v>10.55</v>
      </c>
      <c r="AF125" s="456">
        <v>10.45</v>
      </c>
      <c r="AG125" s="414"/>
      <c r="AH125" s="414"/>
    </row>
    <row r="126" spans="22:34" ht="14.25" thickBot="1">
      <c r="V126" s="6" t="s">
        <v>2208</v>
      </c>
      <c r="W126" s="4" t="s">
        <v>645</v>
      </c>
      <c r="X126" s="2"/>
      <c r="Y126" s="432" t="s">
        <v>563</v>
      </c>
      <c r="Z126" s="433">
        <v>0.1</v>
      </c>
      <c r="AA126" s="474" t="s">
        <v>389</v>
      </c>
      <c r="AB126" s="435" t="s">
        <v>646</v>
      </c>
      <c r="AC126" s="436" t="str">
        <f t="shared" si="1"/>
        <v>京都府京都市</v>
      </c>
      <c r="AD126" s="457">
        <v>10.7</v>
      </c>
      <c r="AE126" s="435">
        <v>10.55</v>
      </c>
      <c r="AF126" s="456">
        <v>10.45</v>
      </c>
      <c r="AG126" s="414"/>
      <c r="AH126" s="414"/>
    </row>
    <row r="127" spans="22:34" ht="14.25" thickBot="1">
      <c r="V127" s="6" t="s">
        <v>2208</v>
      </c>
      <c r="W127" s="4" t="s">
        <v>647</v>
      </c>
      <c r="X127" s="2"/>
      <c r="Y127" s="432" t="s">
        <v>563</v>
      </c>
      <c r="Z127" s="433">
        <v>0.1</v>
      </c>
      <c r="AA127" s="474" t="s">
        <v>389</v>
      </c>
      <c r="AB127" s="435" t="s">
        <v>648</v>
      </c>
      <c r="AC127" s="436" t="str">
        <f t="shared" si="1"/>
        <v>京都府長岡京市</v>
      </c>
      <c r="AD127" s="457">
        <v>10.7</v>
      </c>
      <c r="AE127" s="435">
        <v>10.55</v>
      </c>
      <c r="AF127" s="456">
        <v>10.45</v>
      </c>
      <c r="AG127" s="414"/>
      <c r="AH127" s="414"/>
    </row>
    <row r="128" spans="22:34" ht="14.25" thickBot="1">
      <c r="V128" s="6" t="s">
        <v>2208</v>
      </c>
      <c r="W128" s="4" t="s">
        <v>649</v>
      </c>
      <c r="X128" s="2"/>
      <c r="Y128" s="432" t="s">
        <v>563</v>
      </c>
      <c r="Z128" s="433">
        <v>0.1</v>
      </c>
      <c r="AA128" s="474" t="s">
        <v>393</v>
      </c>
      <c r="AB128" s="435" t="s">
        <v>650</v>
      </c>
      <c r="AC128" s="436" t="str">
        <f t="shared" si="1"/>
        <v>大阪府堺市</v>
      </c>
      <c r="AD128" s="457">
        <v>10.7</v>
      </c>
      <c r="AE128" s="435">
        <v>10.55</v>
      </c>
      <c r="AF128" s="456">
        <v>10.45</v>
      </c>
      <c r="AG128" s="414"/>
      <c r="AH128" s="414"/>
    </row>
    <row r="129" spans="22:34" ht="14.25" thickBot="1">
      <c r="V129" s="6" t="s">
        <v>2208</v>
      </c>
      <c r="W129" s="4" t="s">
        <v>651</v>
      </c>
      <c r="X129" s="2"/>
      <c r="Y129" s="432" t="s">
        <v>563</v>
      </c>
      <c r="Z129" s="433">
        <v>0.1</v>
      </c>
      <c r="AA129" s="474" t="s">
        <v>393</v>
      </c>
      <c r="AB129" s="435" t="s">
        <v>652</v>
      </c>
      <c r="AC129" s="436" t="str">
        <f t="shared" si="1"/>
        <v>大阪府枚方市</v>
      </c>
      <c r="AD129" s="457">
        <v>10.7</v>
      </c>
      <c r="AE129" s="435">
        <v>10.55</v>
      </c>
      <c r="AF129" s="456">
        <v>10.45</v>
      </c>
      <c r="AG129" s="414"/>
      <c r="AH129" s="414"/>
    </row>
    <row r="130" spans="22:34" ht="14.25" thickBot="1">
      <c r="V130" s="6" t="s">
        <v>2208</v>
      </c>
      <c r="W130" s="4" t="s">
        <v>653</v>
      </c>
      <c r="X130" s="2"/>
      <c r="Y130" s="432" t="s">
        <v>563</v>
      </c>
      <c r="Z130" s="433">
        <v>0.1</v>
      </c>
      <c r="AA130" s="474" t="s">
        <v>393</v>
      </c>
      <c r="AB130" s="435" t="s">
        <v>654</v>
      </c>
      <c r="AC130" s="436" t="str">
        <f t="shared" si="1"/>
        <v>大阪府茨木市</v>
      </c>
      <c r="AD130" s="457">
        <v>10.7</v>
      </c>
      <c r="AE130" s="435">
        <v>10.55</v>
      </c>
      <c r="AF130" s="456">
        <v>10.45</v>
      </c>
      <c r="AG130" s="414"/>
      <c r="AH130" s="414"/>
    </row>
    <row r="131" spans="22:34" ht="14.25" thickBot="1">
      <c r="V131" s="6" t="s">
        <v>2208</v>
      </c>
      <c r="W131" s="4" t="s">
        <v>655</v>
      </c>
      <c r="X131" s="2"/>
      <c r="Y131" s="432" t="s">
        <v>563</v>
      </c>
      <c r="Z131" s="433">
        <v>0.1</v>
      </c>
      <c r="AA131" s="474" t="s">
        <v>393</v>
      </c>
      <c r="AB131" s="435" t="s">
        <v>656</v>
      </c>
      <c r="AC131" s="436" t="str">
        <f t="shared" si="1"/>
        <v>大阪府八尾市</v>
      </c>
      <c r="AD131" s="457">
        <v>10.7</v>
      </c>
      <c r="AE131" s="435">
        <v>10.55</v>
      </c>
      <c r="AF131" s="456">
        <v>10.45</v>
      </c>
      <c r="AG131" s="414"/>
      <c r="AH131" s="414"/>
    </row>
    <row r="132" spans="22:34" ht="14.25" thickBot="1">
      <c r="V132" s="6" t="s">
        <v>2208</v>
      </c>
      <c r="W132" s="4" t="s">
        <v>657</v>
      </c>
      <c r="X132" s="2"/>
      <c r="Y132" s="432" t="s">
        <v>563</v>
      </c>
      <c r="Z132" s="433">
        <v>0.1</v>
      </c>
      <c r="AA132" s="474" t="s">
        <v>393</v>
      </c>
      <c r="AB132" s="435" t="s">
        <v>658</v>
      </c>
      <c r="AC132" s="436" t="str">
        <f t="shared" ref="AC132:AC195" si="2">AA132&amp;AB132</f>
        <v>大阪府松原市</v>
      </c>
      <c r="AD132" s="457">
        <v>10.7</v>
      </c>
      <c r="AE132" s="435">
        <v>10.55</v>
      </c>
      <c r="AF132" s="456">
        <v>10.45</v>
      </c>
      <c r="AG132" s="414"/>
      <c r="AH132" s="414"/>
    </row>
    <row r="133" spans="22:34" ht="14.25" thickBot="1">
      <c r="V133" s="6" t="s">
        <v>2208</v>
      </c>
      <c r="W133" s="4" t="s">
        <v>659</v>
      </c>
      <c r="X133" s="2"/>
      <c r="Y133" s="432" t="s">
        <v>563</v>
      </c>
      <c r="Z133" s="433">
        <v>0.1</v>
      </c>
      <c r="AA133" s="474" t="s">
        <v>393</v>
      </c>
      <c r="AB133" s="435" t="s">
        <v>660</v>
      </c>
      <c r="AC133" s="436" t="str">
        <f t="shared" si="2"/>
        <v>大阪府摂津市</v>
      </c>
      <c r="AD133" s="457">
        <v>10.7</v>
      </c>
      <c r="AE133" s="435">
        <v>10.55</v>
      </c>
      <c r="AF133" s="456">
        <v>10.45</v>
      </c>
      <c r="AG133" s="414"/>
      <c r="AH133" s="414"/>
    </row>
    <row r="134" spans="22:34" ht="14.25" thickBot="1">
      <c r="V134" s="6" t="s">
        <v>2208</v>
      </c>
      <c r="W134" s="4" t="s">
        <v>661</v>
      </c>
      <c r="X134" s="2"/>
      <c r="Y134" s="432" t="s">
        <v>563</v>
      </c>
      <c r="Z134" s="433">
        <v>0.1</v>
      </c>
      <c r="AA134" s="474" t="s">
        <v>393</v>
      </c>
      <c r="AB134" s="435" t="s">
        <v>662</v>
      </c>
      <c r="AC134" s="436" t="str">
        <f t="shared" si="2"/>
        <v>大阪府高石市</v>
      </c>
      <c r="AD134" s="457">
        <v>10.7</v>
      </c>
      <c r="AE134" s="435">
        <v>10.55</v>
      </c>
      <c r="AF134" s="456">
        <v>10.45</v>
      </c>
      <c r="AG134" s="414"/>
      <c r="AH134" s="414"/>
    </row>
    <row r="135" spans="22:34" ht="14.25" thickBot="1">
      <c r="V135" s="6" t="s">
        <v>2208</v>
      </c>
      <c r="W135" s="4" t="s">
        <v>663</v>
      </c>
      <c r="X135" s="2"/>
      <c r="Y135" s="432" t="s">
        <v>563</v>
      </c>
      <c r="Z135" s="433">
        <v>0.1</v>
      </c>
      <c r="AA135" s="474" t="s">
        <v>393</v>
      </c>
      <c r="AB135" s="435" t="s">
        <v>664</v>
      </c>
      <c r="AC135" s="436" t="str">
        <f t="shared" si="2"/>
        <v>大阪府東大阪市</v>
      </c>
      <c r="AD135" s="457">
        <v>10.7</v>
      </c>
      <c r="AE135" s="435">
        <v>10.55</v>
      </c>
      <c r="AF135" s="456">
        <v>10.45</v>
      </c>
      <c r="AG135" s="414"/>
      <c r="AH135" s="414"/>
    </row>
    <row r="136" spans="22:34" ht="14.25" thickBot="1">
      <c r="V136" s="6" t="s">
        <v>2208</v>
      </c>
      <c r="W136" s="4" t="s">
        <v>665</v>
      </c>
      <c r="X136" s="2"/>
      <c r="Y136" s="432" t="s">
        <v>563</v>
      </c>
      <c r="Z136" s="433">
        <v>0.1</v>
      </c>
      <c r="AA136" s="474" t="s">
        <v>393</v>
      </c>
      <c r="AB136" s="435" t="s">
        <v>666</v>
      </c>
      <c r="AC136" s="436" t="str">
        <f t="shared" si="2"/>
        <v>大阪府交野市</v>
      </c>
      <c r="AD136" s="457">
        <v>10.7</v>
      </c>
      <c r="AE136" s="435">
        <v>10.55</v>
      </c>
      <c r="AF136" s="456">
        <v>10.45</v>
      </c>
      <c r="AG136" s="414"/>
      <c r="AH136" s="414"/>
    </row>
    <row r="137" spans="22:34" ht="14.25" thickBot="1">
      <c r="V137" s="6" t="s">
        <v>2208</v>
      </c>
      <c r="W137" s="4" t="s">
        <v>667</v>
      </c>
      <c r="X137" s="2"/>
      <c r="Y137" s="432" t="s">
        <v>563</v>
      </c>
      <c r="Z137" s="433">
        <v>0.1</v>
      </c>
      <c r="AA137" s="474" t="s">
        <v>397</v>
      </c>
      <c r="AB137" s="435" t="s">
        <v>668</v>
      </c>
      <c r="AC137" s="436" t="str">
        <f t="shared" si="2"/>
        <v>兵庫県尼崎市</v>
      </c>
      <c r="AD137" s="457">
        <v>10.7</v>
      </c>
      <c r="AE137" s="435">
        <v>10.55</v>
      </c>
      <c r="AF137" s="456">
        <v>10.45</v>
      </c>
      <c r="AG137" s="414"/>
      <c r="AH137" s="414"/>
    </row>
    <row r="138" spans="22:34" ht="14.25" thickBot="1">
      <c r="V138" s="6" t="s">
        <v>2208</v>
      </c>
      <c r="W138" s="4" t="s">
        <v>669</v>
      </c>
      <c r="X138" s="2"/>
      <c r="Y138" s="432" t="s">
        <v>563</v>
      </c>
      <c r="Z138" s="433">
        <v>0.1</v>
      </c>
      <c r="AA138" s="474" t="s">
        <v>397</v>
      </c>
      <c r="AB138" s="435" t="s">
        <v>670</v>
      </c>
      <c r="AC138" s="436" t="str">
        <f t="shared" si="2"/>
        <v>兵庫県伊丹市</v>
      </c>
      <c r="AD138" s="457">
        <v>10.7</v>
      </c>
      <c r="AE138" s="435">
        <v>10.55</v>
      </c>
      <c r="AF138" s="456">
        <v>10.45</v>
      </c>
      <c r="AG138" s="414"/>
      <c r="AH138" s="414"/>
    </row>
    <row r="139" spans="22:34" ht="14.25" thickBot="1">
      <c r="V139" s="6" t="s">
        <v>2208</v>
      </c>
      <c r="W139" s="4" t="s">
        <v>671</v>
      </c>
      <c r="X139" s="2"/>
      <c r="Y139" s="432" t="s">
        <v>563</v>
      </c>
      <c r="Z139" s="433">
        <v>0.1</v>
      </c>
      <c r="AA139" s="474" t="s">
        <v>397</v>
      </c>
      <c r="AB139" s="435" t="s">
        <v>672</v>
      </c>
      <c r="AC139" s="436" t="str">
        <f t="shared" si="2"/>
        <v>兵庫県川西市</v>
      </c>
      <c r="AD139" s="457">
        <v>10.7</v>
      </c>
      <c r="AE139" s="435">
        <v>10.55</v>
      </c>
      <c r="AF139" s="456">
        <v>10.45</v>
      </c>
      <c r="AG139" s="414"/>
      <c r="AH139" s="414"/>
    </row>
    <row r="140" spans="22:34" ht="14.25" thickBot="1">
      <c r="V140" s="6" t="s">
        <v>2208</v>
      </c>
      <c r="W140" s="4" t="s">
        <v>673</v>
      </c>
      <c r="X140" s="2"/>
      <c r="Y140" s="432" t="s">
        <v>563</v>
      </c>
      <c r="Z140" s="433">
        <v>0.1</v>
      </c>
      <c r="AA140" s="474" t="s">
        <v>397</v>
      </c>
      <c r="AB140" s="435" t="s">
        <v>674</v>
      </c>
      <c r="AC140" s="436" t="str">
        <f t="shared" si="2"/>
        <v>兵庫県三田市</v>
      </c>
      <c r="AD140" s="457">
        <v>10.7</v>
      </c>
      <c r="AE140" s="435">
        <v>10.55</v>
      </c>
      <c r="AF140" s="456">
        <v>10.45</v>
      </c>
      <c r="AG140" s="414"/>
      <c r="AH140" s="414"/>
    </row>
    <row r="141" spans="22:34" ht="14.25" thickBot="1">
      <c r="V141" s="6" t="s">
        <v>2208</v>
      </c>
      <c r="W141" s="4" t="s">
        <v>675</v>
      </c>
      <c r="X141" s="2"/>
      <c r="Y141" s="432" t="s">
        <v>563</v>
      </c>
      <c r="Z141" s="433">
        <v>0.1</v>
      </c>
      <c r="AA141" s="474" t="s">
        <v>426</v>
      </c>
      <c r="AB141" s="435" t="s">
        <v>676</v>
      </c>
      <c r="AC141" s="436" t="str">
        <f t="shared" si="2"/>
        <v>広島県広島市</v>
      </c>
      <c r="AD141" s="457">
        <v>10.7</v>
      </c>
      <c r="AE141" s="435">
        <v>10.55</v>
      </c>
      <c r="AF141" s="456">
        <v>10.45</v>
      </c>
      <c r="AG141" s="414"/>
      <c r="AH141" s="414"/>
    </row>
    <row r="142" spans="22:34" ht="14.25" thickBot="1">
      <c r="V142" s="6" t="s">
        <v>2208</v>
      </c>
      <c r="W142" s="4" t="s">
        <v>677</v>
      </c>
      <c r="X142" s="2"/>
      <c r="Y142" s="432" t="s">
        <v>563</v>
      </c>
      <c r="Z142" s="433">
        <v>0.1</v>
      </c>
      <c r="AA142" s="474" t="s">
        <v>426</v>
      </c>
      <c r="AB142" s="435" t="s">
        <v>678</v>
      </c>
      <c r="AC142" s="436" t="str">
        <f t="shared" si="2"/>
        <v>広島県府中町</v>
      </c>
      <c r="AD142" s="457">
        <v>10.7</v>
      </c>
      <c r="AE142" s="435">
        <v>10.55</v>
      </c>
      <c r="AF142" s="456">
        <v>10.45</v>
      </c>
      <c r="AG142" s="414"/>
      <c r="AH142" s="414"/>
    </row>
    <row r="143" spans="22:34" ht="14.25" thickBot="1">
      <c r="V143" s="6" t="s">
        <v>2208</v>
      </c>
      <c r="W143" s="4" t="s">
        <v>679</v>
      </c>
      <c r="X143" s="2"/>
      <c r="Y143" s="432" t="s">
        <v>563</v>
      </c>
      <c r="Z143" s="433">
        <v>0.1</v>
      </c>
      <c r="AA143" s="474" t="s">
        <v>451</v>
      </c>
      <c r="AB143" s="435" t="s">
        <v>680</v>
      </c>
      <c r="AC143" s="436" t="str">
        <f t="shared" si="2"/>
        <v>福岡県福岡市</v>
      </c>
      <c r="AD143" s="457">
        <v>10.7</v>
      </c>
      <c r="AE143" s="435">
        <v>10.55</v>
      </c>
      <c r="AF143" s="456">
        <v>10.45</v>
      </c>
      <c r="AG143" s="414"/>
      <c r="AH143" s="414"/>
    </row>
    <row r="144" spans="22:34" ht="14.25" thickBot="1">
      <c r="V144" s="6" t="s">
        <v>2208</v>
      </c>
      <c r="W144" s="4" t="s">
        <v>681</v>
      </c>
      <c r="X144" s="2"/>
      <c r="Y144" s="441" t="s">
        <v>563</v>
      </c>
      <c r="Z144" s="442">
        <v>0.1</v>
      </c>
      <c r="AA144" s="475" t="s">
        <v>451</v>
      </c>
      <c r="AB144" s="444" t="s">
        <v>682</v>
      </c>
      <c r="AC144" s="445" t="str">
        <f t="shared" si="2"/>
        <v>福岡県春日市</v>
      </c>
      <c r="AD144" s="463">
        <v>10.7</v>
      </c>
      <c r="AE144" s="444">
        <v>10.55</v>
      </c>
      <c r="AF144" s="464">
        <v>10.45</v>
      </c>
      <c r="AG144" s="414"/>
      <c r="AH144" s="414"/>
    </row>
    <row r="145" spans="22:34" ht="14.25" thickBot="1">
      <c r="V145" s="6" t="s">
        <v>2208</v>
      </c>
      <c r="W145" s="4" t="s">
        <v>683</v>
      </c>
      <c r="X145" s="2"/>
      <c r="Y145" s="449" t="s">
        <v>684</v>
      </c>
      <c r="Z145" s="450">
        <v>0.06</v>
      </c>
      <c r="AA145" s="477" t="s">
        <v>295</v>
      </c>
      <c r="AB145" s="452" t="s">
        <v>685</v>
      </c>
      <c r="AC145" s="453" t="str">
        <f t="shared" si="2"/>
        <v>宮城県仙台市</v>
      </c>
      <c r="AD145" s="476">
        <v>10.42</v>
      </c>
      <c r="AE145" s="452">
        <v>10.33</v>
      </c>
      <c r="AF145" s="453">
        <v>10.27</v>
      </c>
      <c r="AG145" s="414"/>
      <c r="AH145" s="414"/>
    </row>
    <row r="146" spans="22:34" ht="14.25" thickBot="1">
      <c r="V146" s="6" t="s">
        <v>2208</v>
      </c>
      <c r="W146" s="4" t="s">
        <v>686</v>
      </c>
      <c r="X146" s="2"/>
      <c r="Y146" s="432" t="s">
        <v>684</v>
      </c>
      <c r="Z146" s="433">
        <v>0.06</v>
      </c>
      <c r="AA146" s="474" t="s">
        <v>295</v>
      </c>
      <c r="AB146" s="435" t="s">
        <v>687</v>
      </c>
      <c r="AC146" s="456" t="str">
        <f t="shared" si="2"/>
        <v>宮城県多賀城市</v>
      </c>
      <c r="AD146" s="457">
        <v>10.42</v>
      </c>
      <c r="AE146" s="435">
        <v>10.33</v>
      </c>
      <c r="AF146" s="456">
        <v>10.27</v>
      </c>
      <c r="AG146" s="414"/>
      <c r="AH146" s="414"/>
    </row>
    <row r="147" spans="22:34" ht="14.25" thickBot="1">
      <c r="V147" s="6" t="s">
        <v>2208</v>
      </c>
      <c r="W147" s="4" t="s">
        <v>688</v>
      </c>
      <c r="X147" s="2"/>
      <c r="Y147" s="432" t="s">
        <v>684</v>
      </c>
      <c r="Z147" s="433">
        <v>0.06</v>
      </c>
      <c r="AA147" s="474" t="s">
        <v>313</v>
      </c>
      <c r="AB147" s="435" t="s">
        <v>689</v>
      </c>
      <c r="AC147" s="456" t="str">
        <f t="shared" si="2"/>
        <v>茨城県土浦市</v>
      </c>
      <c r="AD147" s="457">
        <v>10.42</v>
      </c>
      <c r="AE147" s="435">
        <v>10.33</v>
      </c>
      <c r="AF147" s="456">
        <v>10.27</v>
      </c>
      <c r="AG147" s="414"/>
      <c r="AH147" s="414"/>
    </row>
    <row r="148" spans="22:34" ht="14.25" thickBot="1">
      <c r="V148" s="6" t="s">
        <v>2208</v>
      </c>
      <c r="W148" s="4" t="s">
        <v>690</v>
      </c>
      <c r="X148" s="2"/>
      <c r="Y148" s="432" t="s">
        <v>684</v>
      </c>
      <c r="Z148" s="433">
        <v>0.06</v>
      </c>
      <c r="AA148" s="474" t="s">
        <v>313</v>
      </c>
      <c r="AB148" s="435" t="s">
        <v>691</v>
      </c>
      <c r="AC148" s="456" t="str">
        <f t="shared" si="2"/>
        <v>茨城県古河市</v>
      </c>
      <c r="AD148" s="457">
        <v>10.42</v>
      </c>
      <c r="AE148" s="435">
        <v>10.33</v>
      </c>
      <c r="AF148" s="456">
        <v>10.27</v>
      </c>
      <c r="AG148" s="414"/>
      <c r="AH148" s="414"/>
    </row>
    <row r="149" spans="22:34" ht="14.25" thickBot="1">
      <c r="V149" s="6" t="s">
        <v>2208</v>
      </c>
      <c r="W149" s="4" t="s">
        <v>692</v>
      </c>
      <c r="X149" s="2"/>
      <c r="Y149" s="432" t="s">
        <v>684</v>
      </c>
      <c r="Z149" s="433">
        <v>0.06</v>
      </c>
      <c r="AA149" s="474" t="s">
        <v>313</v>
      </c>
      <c r="AB149" s="435" t="s">
        <v>693</v>
      </c>
      <c r="AC149" s="456" t="str">
        <f t="shared" si="2"/>
        <v>茨城県利根町</v>
      </c>
      <c r="AD149" s="457">
        <v>10.42</v>
      </c>
      <c r="AE149" s="435">
        <v>10.33</v>
      </c>
      <c r="AF149" s="456">
        <v>10.27</v>
      </c>
      <c r="AG149" s="414"/>
      <c r="AH149" s="414"/>
    </row>
    <row r="150" spans="22:34" ht="14.25" thickBot="1">
      <c r="V150" s="6" t="s">
        <v>2208</v>
      </c>
      <c r="W150" s="4" t="s">
        <v>694</v>
      </c>
      <c r="X150" s="2"/>
      <c r="Y150" s="432" t="s">
        <v>684</v>
      </c>
      <c r="Z150" s="433">
        <v>0.06</v>
      </c>
      <c r="AA150" s="474" t="s">
        <v>317</v>
      </c>
      <c r="AB150" s="435" t="s">
        <v>695</v>
      </c>
      <c r="AC150" s="456" t="str">
        <f t="shared" si="2"/>
        <v>栃木県宇都宮市</v>
      </c>
      <c r="AD150" s="457">
        <v>10.42</v>
      </c>
      <c r="AE150" s="435">
        <v>10.33</v>
      </c>
      <c r="AF150" s="456">
        <v>10.27</v>
      </c>
      <c r="AG150" s="414"/>
      <c r="AH150" s="414"/>
    </row>
    <row r="151" spans="22:34" ht="14.25" thickBot="1">
      <c r="V151" s="6" t="s">
        <v>2208</v>
      </c>
      <c r="W151" s="4" t="s">
        <v>696</v>
      </c>
      <c r="X151" s="2"/>
      <c r="Y151" s="432" t="s">
        <v>684</v>
      </c>
      <c r="Z151" s="433">
        <v>0.06</v>
      </c>
      <c r="AA151" s="474" t="s">
        <v>317</v>
      </c>
      <c r="AB151" s="435" t="s">
        <v>697</v>
      </c>
      <c r="AC151" s="456" t="str">
        <f t="shared" si="2"/>
        <v>栃木県野木町</v>
      </c>
      <c r="AD151" s="457">
        <v>10.42</v>
      </c>
      <c r="AE151" s="435">
        <v>10.33</v>
      </c>
      <c r="AF151" s="456">
        <v>10.27</v>
      </c>
      <c r="AG151" s="414"/>
      <c r="AH151" s="414"/>
    </row>
    <row r="152" spans="22:34" ht="14.25" thickBot="1">
      <c r="V152" s="6" t="s">
        <v>2208</v>
      </c>
      <c r="W152" s="4" t="s">
        <v>698</v>
      </c>
      <c r="X152" s="2"/>
      <c r="Y152" s="432" t="s">
        <v>684</v>
      </c>
      <c r="Z152" s="433">
        <v>0.06</v>
      </c>
      <c r="AA152" s="474" t="s">
        <v>321</v>
      </c>
      <c r="AB152" s="435" t="s">
        <v>699</v>
      </c>
      <c r="AC152" s="456" t="str">
        <f t="shared" si="2"/>
        <v>群馬県高崎市</v>
      </c>
      <c r="AD152" s="457">
        <v>10.42</v>
      </c>
      <c r="AE152" s="435">
        <v>10.33</v>
      </c>
      <c r="AF152" s="456">
        <v>10.27</v>
      </c>
      <c r="AG152" s="414"/>
      <c r="AH152" s="414"/>
    </row>
    <row r="153" spans="22:34" ht="14.25" thickBot="1">
      <c r="V153" s="6" t="s">
        <v>2208</v>
      </c>
      <c r="W153" s="4" t="s">
        <v>700</v>
      </c>
      <c r="X153" s="2"/>
      <c r="Y153" s="432" t="s">
        <v>684</v>
      </c>
      <c r="Z153" s="433">
        <v>0.06</v>
      </c>
      <c r="AA153" s="474" t="s">
        <v>326</v>
      </c>
      <c r="AB153" s="435" t="s">
        <v>701</v>
      </c>
      <c r="AC153" s="456" t="str">
        <f t="shared" si="2"/>
        <v>埼玉県川越市</v>
      </c>
      <c r="AD153" s="457">
        <v>10.42</v>
      </c>
      <c r="AE153" s="435">
        <v>10.33</v>
      </c>
      <c r="AF153" s="456">
        <v>10.27</v>
      </c>
      <c r="AG153" s="414"/>
      <c r="AH153" s="414"/>
    </row>
    <row r="154" spans="22:34" ht="14.25" thickBot="1">
      <c r="V154" s="6" t="s">
        <v>2208</v>
      </c>
      <c r="W154" s="4" t="s">
        <v>702</v>
      </c>
      <c r="X154" s="2"/>
      <c r="Y154" s="432" t="s">
        <v>684</v>
      </c>
      <c r="Z154" s="433">
        <v>0.06</v>
      </c>
      <c r="AA154" s="474" t="s">
        <v>326</v>
      </c>
      <c r="AB154" s="435" t="s">
        <v>703</v>
      </c>
      <c r="AC154" s="456" t="str">
        <f t="shared" si="2"/>
        <v>埼玉県行田市</v>
      </c>
      <c r="AD154" s="457">
        <v>10.42</v>
      </c>
      <c r="AE154" s="435">
        <v>10.33</v>
      </c>
      <c r="AF154" s="456">
        <v>10.27</v>
      </c>
      <c r="AG154" s="414"/>
      <c r="AH154" s="414"/>
    </row>
    <row r="155" spans="22:34" ht="14.25" thickBot="1">
      <c r="V155" s="6" t="s">
        <v>2208</v>
      </c>
      <c r="W155" s="4" t="s">
        <v>704</v>
      </c>
      <c r="X155" s="2"/>
      <c r="Y155" s="432" t="s">
        <v>684</v>
      </c>
      <c r="Z155" s="433">
        <v>0.06</v>
      </c>
      <c r="AA155" s="474" t="s">
        <v>326</v>
      </c>
      <c r="AB155" s="435" t="s">
        <v>705</v>
      </c>
      <c r="AC155" s="456" t="str">
        <f t="shared" si="2"/>
        <v>埼玉県所沢市</v>
      </c>
      <c r="AD155" s="457">
        <v>10.42</v>
      </c>
      <c r="AE155" s="435">
        <v>10.33</v>
      </c>
      <c r="AF155" s="456">
        <v>10.27</v>
      </c>
      <c r="AG155" s="414"/>
      <c r="AH155" s="414"/>
    </row>
    <row r="156" spans="22:34" ht="14.25" thickBot="1">
      <c r="V156" s="6" t="s">
        <v>2208</v>
      </c>
      <c r="W156" s="4" t="s">
        <v>706</v>
      </c>
      <c r="X156" s="2"/>
      <c r="Y156" s="432" t="s">
        <v>684</v>
      </c>
      <c r="Z156" s="433">
        <v>0.06</v>
      </c>
      <c r="AA156" s="474" t="s">
        <v>326</v>
      </c>
      <c r="AB156" s="435" t="s">
        <v>707</v>
      </c>
      <c r="AC156" s="456" t="str">
        <f t="shared" si="2"/>
        <v>埼玉県飯能市</v>
      </c>
      <c r="AD156" s="457">
        <v>10.42</v>
      </c>
      <c r="AE156" s="435">
        <v>10.33</v>
      </c>
      <c r="AF156" s="456">
        <v>10.27</v>
      </c>
      <c r="AG156" s="414"/>
      <c r="AH156" s="414"/>
    </row>
    <row r="157" spans="22:34" ht="14.25" thickBot="1">
      <c r="V157" s="6" t="s">
        <v>2208</v>
      </c>
      <c r="W157" s="4" t="s">
        <v>708</v>
      </c>
      <c r="X157" s="2"/>
      <c r="Y157" s="432" t="s">
        <v>684</v>
      </c>
      <c r="Z157" s="433">
        <v>0.06</v>
      </c>
      <c r="AA157" s="474" t="s">
        <v>326</v>
      </c>
      <c r="AB157" s="435" t="s">
        <v>709</v>
      </c>
      <c r="AC157" s="456" t="str">
        <f t="shared" si="2"/>
        <v>埼玉県加須市</v>
      </c>
      <c r="AD157" s="457">
        <v>10.42</v>
      </c>
      <c r="AE157" s="435">
        <v>10.33</v>
      </c>
      <c r="AF157" s="456">
        <v>10.27</v>
      </c>
      <c r="AG157" s="414"/>
      <c r="AH157" s="414"/>
    </row>
    <row r="158" spans="22:34" ht="14.25" thickBot="1">
      <c r="V158" s="6" t="s">
        <v>2208</v>
      </c>
      <c r="W158" s="4" t="s">
        <v>710</v>
      </c>
      <c r="X158" s="2"/>
      <c r="Y158" s="432" t="s">
        <v>684</v>
      </c>
      <c r="Z158" s="433">
        <v>0.06</v>
      </c>
      <c r="AA158" s="474" t="s">
        <v>326</v>
      </c>
      <c r="AB158" s="435" t="s">
        <v>711</v>
      </c>
      <c r="AC158" s="456" t="str">
        <f t="shared" si="2"/>
        <v>埼玉県東松山市</v>
      </c>
      <c r="AD158" s="457">
        <v>10.42</v>
      </c>
      <c r="AE158" s="435">
        <v>10.33</v>
      </c>
      <c r="AF158" s="456">
        <v>10.27</v>
      </c>
      <c r="AG158" s="414"/>
      <c r="AH158" s="414"/>
    </row>
    <row r="159" spans="22:34" ht="14.25" thickBot="1">
      <c r="V159" s="6" t="s">
        <v>2208</v>
      </c>
      <c r="W159" s="4" t="s">
        <v>712</v>
      </c>
      <c r="X159" s="2"/>
      <c r="Y159" s="432" t="s">
        <v>684</v>
      </c>
      <c r="Z159" s="433">
        <v>0.06</v>
      </c>
      <c r="AA159" s="474" t="s">
        <v>326</v>
      </c>
      <c r="AB159" s="435" t="s">
        <v>713</v>
      </c>
      <c r="AC159" s="456" t="str">
        <f t="shared" si="2"/>
        <v>埼玉県春日部市</v>
      </c>
      <c r="AD159" s="457">
        <v>10.42</v>
      </c>
      <c r="AE159" s="435">
        <v>10.33</v>
      </c>
      <c r="AF159" s="456">
        <v>10.27</v>
      </c>
      <c r="AG159" s="414"/>
      <c r="AH159" s="414"/>
    </row>
    <row r="160" spans="22:34" ht="14.25" thickBot="1">
      <c r="V160" s="6" t="s">
        <v>2208</v>
      </c>
      <c r="W160" s="4" t="s">
        <v>714</v>
      </c>
      <c r="X160" s="2"/>
      <c r="Y160" s="432" t="s">
        <v>684</v>
      </c>
      <c r="Z160" s="433">
        <v>0.06</v>
      </c>
      <c r="AA160" s="474" t="s">
        <v>326</v>
      </c>
      <c r="AB160" s="435" t="s">
        <v>715</v>
      </c>
      <c r="AC160" s="456" t="str">
        <f t="shared" si="2"/>
        <v>埼玉県狭山市</v>
      </c>
      <c r="AD160" s="457">
        <v>10.42</v>
      </c>
      <c r="AE160" s="435">
        <v>10.33</v>
      </c>
      <c r="AF160" s="456">
        <v>10.27</v>
      </c>
      <c r="AG160" s="414"/>
      <c r="AH160" s="414"/>
    </row>
    <row r="161" spans="22:34" ht="14.25" thickBot="1">
      <c r="V161" s="6" t="s">
        <v>2208</v>
      </c>
      <c r="W161" s="4" t="s">
        <v>716</v>
      </c>
      <c r="X161" s="2"/>
      <c r="Y161" s="432" t="s">
        <v>684</v>
      </c>
      <c r="Z161" s="433">
        <v>0.06</v>
      </c>
      <c r="AA161" s="474" t="s">
        <v>326</v>
      </c>
      <c r="AB161" s="435" t="s">
        <v>717</v>
      </c>
      <c r="AC161" s="456" t="str">
        <f t="shared" si="2"/>
        <v>埼玉県羽生市</v>
      </c>
      <c r="AD161" s="457">
        <v>10.42</v>
      </c>
      <c r="AE161" s="435">
        <v>10.33</v>
      </c>
      <c r="AF161" s="456">
        <v>10.27</v>
      </c>
      <c r="AG161" s="414"/>
      <c r="AH161" s="414"/>
    </row>
    <row r="162" spans="22:34" ht="14.25" thickBot="1">
      <c r="V162" s="6" t="s">
        <v>2208</v>
      </c>
      <c r="W162" s="4" t="s">
        <v>718</v>
      </c>
      <c r="X162" s="2"/>
      <c r="Y162" s="432" t="s">
        <v>684</v>
      </c>
      <c r="Z162" s="433">
        <v>0.06</v>
      </c>
      <c r="AA162" s="474" t="s">
        <v>326</v>
      </c>
      <c r="AB162" s="435" t="s">
        <v>719</v>
      </c>
      <c r="AC162" s="456" t="str">
        <f t="shared" si="2"/>
        <v>埼玉県鴻巣市</v>
      </c>
      <c r="AD162" s="457">
        <v>10.42</v>
      </c>
      <c r="AE162" s="435">
        <v>10.33</v>
      </c>
      <c r="AF162" s="456">
        <v>10.27</v>
      </c>
      <c r="AG162" s="414"/>
      <c r="AH162" s="414"/>
    </row>
    <row r="163" spans="22:34" ht="14.25" thickBot="1">
      <c r="V163" s="6" t="s">
        <v>2208</v>
      </c>
      <c r="W163" s="4" t="s">
        <v>720</v>
      </c>
      <c r="X163" s="2"/>
      <c r="Y163" s="432" t="s">
        <v>684</v>
      </c>
      <c r="Z163" s="433">
        <v>0.06</v>
      </c>
      <c r="AA163" s="474" t="s">
        <v>326</v>
      </c>
      <c r="AB163" s="435" t="s">
        <v>721</v>
      </c>
      <c r="AC163" s="456" t="str">
        <f t="shared" si="2"/>
        <v>埼玉県上尾市</v>
      </c>
      <c r="AD163" s="457">
        <v>10.42</v>
      </c>
      <c r="AE163" s="435">
        <v>10.33</v>
      </c>
      <c r="AF163" s="456">
        <v>10.27</v>
      </c>
      <c r="AG163" s="414"/>
      <c r="AH163" s="414"/>
    </row>
    <row r="164" spans="22:34" ht="14.25" thickBot="1">
      <c r="V164" s="6" t="s">
        <v>2208</v>
      </c>
      <c r="W164" s="4" t="s">
        <v>722</v>
      </c>
      <c r="X164" s="2"/>
      <c r="Y164" s="432" t="s">
        <v>684</v>
      </c>
      <c r="Z164" s="433">
        <v>0.06</v>
      </c>
      <c r="AA164" s="474" t="s">
        <v>326</v>
      </c>
      <c r="AB164" s="435" t="s">
        <v>723</v>
      </c>
      <c r="AC164" s="456" t="str">
        <f t="shared" si="2"/>
        <v>埼玉県越谷市</v>
      </c>
      <c r="AD164" s="457">
        <v>10.42</v>
      </c>
      <c r="AE164" s="435">
        <v>10.33</v>
      </c>
      <c r="AF164" s="456">
        <v>10.27</v>
      </c>
      <c r="AG164" s="414"/>
      <c r="AH164" s="414"/>
    </row>
    <row r="165" spans="22:34" ht="14.25" thickBot="1">
      <c r="V165" s="6" t="s">
        <v>2208</v>
      </c>
      <c r="W165" s="4" t="s">
        <v>724</v>
      </c>
      <c r="X165" s="2"/>
      <c r="Y165" s="432" t="s">
        <v>684</v>
      </c>
      <c r="Z165" s="433">
        <v>0.06</v>
      </c>
      <c r="AA165" s="474" t="s">
        <v>326</v>
      </c>
      <c r="AB165" s="435" t="s">
        <v>725</v>
      </c>
      <c r="AC165" s="456" t="str">
        <f t="shared" si="2"/>
        <v>埼玉県蕨市</v>
      </c>
      <c r="AD165" s="457">
        <v>10.42</v>
      </c>
      <c r="AE165" s="435">
        <v>10.33</v>
      </c>
      <c r="AF165" s="456">
        <v>10.27</v>
      </c>
      <c r="AG165" s="414"/>
      <c r="AH165" s="414"/>
    </row>
    <row r="166" spans="22:34" ht="14.25" thickBot="1">
      <c r="V166" s="6" t="s">
        <v>2208</v>
      </c>
      <c r="W166" s="4" t="s">
        <v>726</v>
      </c>
      <c r="X166" s="2"/>
      <c r="Y166" s="432" t="s">
        <v>684</v>
      </c>
      <c r="Z166" s="433">
        <v>0.06</v>
      </c>
      <c r="AA166" s="474" t="s">
        <v>326</v>
      </c>
      <c r="AB166" s="435" t="s">
        <v>727</v>
      </c>
      <c r="AC166" s="456" t="str">
        <f t="shared" si="2"/>
        <v>埼玉県入間市</v>
      </c>
      <c r="AD166" s="457">
        <v>10.42</v>
      </c>
      <c r="AE166" s="435">
        <v>10.33</v>
      </c>
      <c r="AF166" s="456">
        <v>10.27</v>
      </c>
      <c r="AG166" s="414"/>
      <c r="AH166" s="414"/>
    </row>
    <row r="167" spans="22:34" ht="14.25" thickBot="1">
      <c r="V167" s="6" t="s">
        <v>2208</v>
      </c>
      <c r="W167" s="4" t="s">
        <v>728</v>
      </c>
      <c r="X167" s="2"/>
      <c r="Y167" s="432" t="s">
        <v>684</v>
      </c>
      <c r="Z167" s="433">
        <v>0.06</v>
      </c>
      <c r="AA167" s="474" t="s">
        <v>326</v>
      </c>
      <c r="AB167" s="435" t="s">
        <v>729</v>
      </c>
      <c r="AC167" s="456" t="str">
        <f t="shared" si="2"/>
        <v>埼玉県桶川市</v>
      </c>
      <c r="AD167" s="457">
        <v>10.42</v>
      </c>
      <c r="AE167" s="435">
        <v>10.33</v>
      </c>
      <c r="AF167" s="456">
        <v>10.27</v>
      </c>
      <c r="AG167" s="414"/>
      <c r="AH167" s="414"/>
    </row>
    <row r="168" spans="22:34" ht="14.25" thickBot="1">
      <c r="V168" s="6" t="s">
        <v>2208</v>
      </c>
      <c r="W168" s="4" t="s">
        <v>730</v>
      </c>
      <c r="X168" s="2"/>
      <c r="Y168" s="432" t="s">
        <v>684</v>
      </c>
      <c r="Z168" s="433">
        <v>0.06</v>
      </c>
      <c r="AA168" s="474" t="s">
        <v>326</v>
      </c>
      <c r="AB168" s="435" t="s">
        <v>731</v>
      </c>
      <c r="AC168" s="456" t="str">
        <f t="shared" si="2"/>
        <v>埼玉県久喜市</v>
      </c>
      <c r="AD168" s="457">
        <v>10.42</v>
      </c>
      <c r="AE168" s="435">
        <v>10.33</v>
      </c>
      <c r="AF168" s="456">
        <v>10.27</v>
      </c>
      <c r="AG168" s="414"/>
      <c r="AH168" s="414"/>
    </row>
    <row r="169" spans="22:34" ht="14.25" thickBot="1">
      <c r="V169" s="6" t="s">
        <v>2208</v>
      </c>
      <c r="W169" s="4" t="s">
        <v>732</v>
      </c>
      <c r="X169" s="2"/>
      <c r="Y169" s="432" t="s">
        <v>684</v>
      </c>
      <c r="Z169" s="433">
        <v>0.06</v>
      </c>
      <c r="AA169" s="474" t="s">
        <v>326</v>
      </c>
      <c r="AB169" s="435" t="s">
        <v>733</v>
      </c>
      <c r="AC169" s="456" t="str">
        <f t="shared" si="2"/>
        <v>埼玉県北本市</v>
      </c>
      <c r="AD169" s="457">
        <v>10.42</v>
      </c>
      <c r="AE169" s="435">
        <v>10.33</v>
      </c>
      <c r="AF169" s="456">
        <v>10.27</v>
      </c>
      <c r="AG169" s="414"/>
      <c r="AH169" s="414"/>
    </row>
    <row r="170" spans="22:34" ht="14.25" thickBot="1">
      <c r="V170" s="6" t="s">
        <v>2208</v>
      </c>
      <c r="W170" s="4" t="s">
        <v>734</v>
      </c>
      <c r="X170" s="2"/>
      <c r="Y170" s="432" t="s">
        <v>684</v>
      </c>
      <c r="Z170" s="433">
        <v>0.06</v>
      </c>
      <c r="AA170" s="474" t="s">
        <v>326</v>
      </c>
      <c r="AB170" s="435" t="s">
        <v>735</v>
      </c>
      <c r="AC170" s="456" t="str">
        <f t="shared" si="2"/>
        <v>埼玉県富士見市</v>
      </c>
      <c r="AD170" s="457">
        <v>10.42</v>
      </c>
      <c r="AE170" s="435">
        <v>10.33</v>
      </c>
      <c r="AF170" s="456">
        <v>10.27</v>
      </c>
      <c r="AG170" s="414"/>
      <c r="AH170" s="414"/>
    </row>
    <row r="171" spans="22:34" ht="14.25" thickBot="1">
      <c r="V171" s="6" t="s">
        <v>2208</v>
      </c>
      <c r="W171" s="4" t="s">
        <v>736</v>
      </c>
      <c r="X171" s="2"/>
      <c r="Y171" s="432" t="s">
        <v>684</v>
      </c>
      <c r="Z171" s="433">
        <v>0.06</v>
      </c>
      <c r="AA171" s="474" t="s">
        <v>326</v>
      </c>
      <c r="AB171" s="435" t="s">
        <v>737</v>
      </c>
      <c r="AC171" s="456" t="str">
        <f t="shared" si="2"/>
        <v>埼玉県三郷市</v>
      </c>
      <c r="AD171" s="457">
        <v>10.42</v>
      </c>
      <c r="AE171" s="435">
        <v>10.33</v>
      </c>
      <c r="AF171" s="456">
        <v>10.27</v>
      </c>
      <c r="AG171" s="414"/>
      <c r="AH171" s="414"/>
    </row>
    <row r="172" spans="22:34" ht="14.25" thickBot="1">
      <c r="V172" s="6" t="s">
        <v>2208</v>
      </c>
      <c r="W172" s="4" t="s">
        <v>738</v>
      </c>
      <c r="X172" s="2"/>
      <c r="Y172" s="432" t="s">
        <v>684</v>
      </c>
      <c r="Z172" s="433">
        <v>0.06</v>
      </c>
      <c r="AA172" s="474" t="s">
        <v>326</v>
      </c>
      <c r="AB172" s="435" t="s">
        <v>739</v>
      </c>
      <c r="AC172" s="456" t="str">
        <f t="shared" si="2"/>
        <v>埼玉県蓮田市</v>
      </c>
      <c r="AD172" s="457">
        <v>10.42</v>
      </c>
      <c r="AE172" s="435">
        <v>10.33</v>
      </c>
      <c r="AF172" s="456">
        <v>10.27</v>
      </c>
      <c r="AG172" s="414"/>
      <c r="AH172" s="414"/>
    </row>
    <row r="173" spans="22:34" ht="14.25" thickBot="1">
      <c r="V173" s="6" t="s">
        <v>2208</v>
      </c>
      <c r="W173" s="4" t="s">
        <v>740</v>
      </c>
      <c r="X173" s="2"/>
      <c r="Y173" s="432" t="s">
        <v>684</v>
      </c>
      <c r="Z173" s="433">
        <v>0.06</v>
      </c>
      <c r="AA173" s="474" t="s">
        <v>326</v>
      </c>
      <c r="AB173" s="435" t="s">
        <v>741</v>
      </c>
      <c r="AC173" s="456" t="str">
        <f t="shared" si="2"/>
        <v>埼玉県坂戸市</v>
      </c>
      <c r="AD173" s="457">
        <v>10.42</v>
      </c>
      <c r="AE173" s="435">
        <v>10.33</v>
      </c>
      <c r="AF173" s="456">
        <v>10.27</v>
      </c>
      <c r="AG173" s="414"/>
      <c r="AH173" s="414"/>
    </row>
    <row r="174" spans="22:34" ht="14.25" thickBot="1">
      <c r="V174" s="6" t="s">
        <v>2208</v>
      </c>
      <c r="W174" s="4" t="s">
        <v>742</v>
      </c>
      <c r="X174" s="2"/>
      <c r="Y174" s="432" t="s">
        <v>684</v>
      </c>
      <c r="Z174" s="433">
        <v>0.06</v>
      </c>
      <c r="AA174" s="474" t="s">
        <v>326</v>
      </c>
      <c r="AB174" s="435" t="s">
        <v>743</v>
      </c>
      <c r="AC174" s="456" t="str">
        <f t="shared" si="2"/>
        <v>埼玉県幸手市</v>
      </c>
      <c r="AD174" s="457">
        <v>10.42</v>
      </c>
      <c r="AE174" s="435">
        <v>10.33</v>
      </c>
      <c r="AF174" s="456">
        <v>10.27</v>
      </c>
      <c r="AG174" s="414"/>
      <c r="AH174" s="414"/>
    </row>
    <row r="175" spans="22:34" ht="14.25" thickBot="1">
      <c r="V175" s="6" t="s">
        <v>2208</v>
      </c>
      <c r="W175" s="4" t="s">
        <v>744</v>
      </c>
      <c r="X175" s="2"/>
      <c r="Y175" s="432" t="s">
        <v>684</v>
      </c>
      <c r="Z175" s="433">
        <v>0.06</v>
      </c>
      <c r="AA175" s="474" t="s">
        <v>326</v>
      </c>
      <c r="AB175" s="435" t="s">
        <v>745</v>
      </c>
      <c r="AC175" s="456" t="str">
        <f t="shared" si="2"/>
        <v>埼玉県鶴ヶ島市</v>
      </c>
      <c r="AD175" s="457">
        <v>10.42</v>
      </c>
      <c r="AE175" s="435">
        <v>10.33</v>
      </c>
      <c r="AF175" s="456">
        <v>10.27</v>
      </c>
      <c r="AG175" s="414"/>
      <c r="AH175" s="414"/>
    </row>
    <row r="176" spans="22:34" ht="14.25" thickBot="1">
      <c r="V176" s="6" t="s">
        <v>2208</v>
      </c>
      <c r="W176" s="4" t="s">
        <v>746</v>
      </c>
      <c r="X176" s="2"/>
      <c r="Y176" s="432" t="s">
        <v>684</v>
      </c>
      <c r="Z176" s="433">
        <v>0.06</v>
      </c>
      <c r="AA176" s="474" t="s">
        <v>326</v>
      </c>
      <c r="AB176" s="435" t="s">
        <v>747</v>
      </c>
      <c r="AC176" s="456" t="str">
        <f t="shared" si="2"/>
        <v>埼玉県吉川市</v>
      </c>
      <c r="AD176" s="457">
        <v>10.42</v>
      </c>
      <c r="AE176" s="435">
        <v>10.33</v>
      </c>
      <c r="AF176" s="456">
        <v>10.27</v>
      </c>
      <c r="AG176" s="414"/>
      <c r="AH176" s="414"/>
    </row>
    <row r="177" spans="22:34" ht="14.25" thickBot="1">
      <c r="V177" s="6" t="s">
        <v>2208</v>
      </c>
      <c r="W177" s="4" t="s">
        <v>748</v>
      </c>
      <c r="X177" s="2"/>
      <c r="Y177" s="432" t="s">
        <v>684</v>
      </c>
      <c r="Z177" s="433">
        <v>0.06</v>
      </c>
      <c r="AA177" s="474" t="s">
        <v>326</v>
      </c>
      <c r="AB177" s="435" t="s">
        <v>749</v>
      </c>
      <c r="AC177" s="456" t="str">
        <f t="shared" si="2"/>
        <v>埼玉県白岡市</v>
      </c>
      <c r="AD177" s="457">
        <v>10.42</v>
      </c>
      <c r="AE177" s="435">
        <v>10.33</v>
      </c>
      <c r="AF177" s="456">
        <v>10.27</v>
      </c>
      <c r="AG177" s="414"/>
      <c r="AH177" s="414"/>
    </row>
    <row r="178" spans="22:34" ht="14.25" thickBot="1">
      <c r="V178" s="6" t="s">
        <v>2208</v>
      </c>
      <c r="W178" s="4" t="s">
        <v>750</v>
      </c>
      <c r="X178" s="2"/>
      <c r="Y178" s="432" t="s">
        <v>684</v>
      </c>
      <c r="Z178" s="433">
        <v>0.06</v>
      </c>
      <c r="AA178" s="474" t="s">
        <v>326</v>
      </c>
      <c r="AB178" s="435" t="s">
        <v>751</v>
      </c>
      <c r="AC178" s="456" t="str">
        <f t="shared" si="2"/>
        <v>埼玉県伊奈町</v>
      </c>
      <c r="AD178" s="457">
        <v>10.42</v>
      </c>
      <c r="AE178" s="435">
        <v>10.33</v>
      </c>
      <c r="AF178" s="456">
        <v>10.27</v>
      </c>
      <c r="AG178" s="414"/>
      <c r="AH178" s="414"/>
    </row>
    <row r="179" spans="22:34" ht="14.25" thickBot="1">
      <c r="V179" s="6" t="s">
        <v>2208</v>
      </c>
      <c r="W179" s="4" t="s">
        <v>752</v>
      </c>
      <c r="X179" s="2"/>
      <c r="Y179" s="432" t="s">
        <v>684</v>
      </c>
      <c r="Z179" s="433">
        <v>0.06</v>
      </c>
      <c r="AA179" s="474" t="s">
        <v>326</v>
      </c>
      <c r="AB179" s="435" t="s">
        <v>753</v>
      </c>
      <c r="AC179" s="456" t="str">
        <f t="shared" si="2"/>
        <v>埼玉県三芳町</v>
      </c>
      <c r="AD179" s="457">
        <v>10.42</v>
      </c>
      <c r="AE179" s="435">
        <v>10.33</v>
      </c>
      <c r="AF179" s="456">
        <v>10.27</v>
      </c>
      <c r="AG179" s="414"/>
      <c r="AH179" s="414"/>
    </row>
    <row r="180" spans="22:34" ht="14.25" thickBot="1">
      <c r="V180" s="6" t="s">
        <v>2208</v>
      </c>
      <c r="W180" s="4" t="s">
        <v>754</v>
      </c>
      <c r="X180" s="2"/>
      <c r="Y180" s="432" t="s">
        <v>684</v>
      </c>
      <c r="Z180" s="433">
        <v>0.06</v>
      </c>
      <c r="AA180" s="474" t="s">
        <v>326</v>
      </c>
      <c r="AB180" s="435" t="s">
        <v>755</v>
      </c>
      <c r="AC180" s="456" t="str">
        <f t="shared" si="2"/>
        <v>埼玉県宮代町</v>
      </c>
      <c r="AD180" s="457">
        <v>10.42</v>
      </c>
      <c r="AE180" s="435">
        <v>10.33</v>
      </c>
      <c r="AF180" s="456">
        <v>10.27</v>
      </c>
      <c r="AG180" s="414"/>
      <c r="AH180" s="414"/>
    </row>
    <row r="181" spans="22:34" ht="14.25" thickBot="1">
      <c r="V181" s="6" t="s">
        <v>2208</v>
      </c>
      <c r="W181" s="4" t="s">
        <v>756</v>
      </c>
      <c r="X181" s="2"/>
      <c r="Y181" s="432" t="s">
        <v>684</v>
      </c>
      <c r="Z181" s="433">
        <v>0.06</v>
      </c>
      <c r="AA181" s="474" t="s">
        <v>326</v>
      </c>
      <c r="AB181" s="435" t="s">
        <v>757</v>
      </c>
      <c r="AC181" s="456" t="str">
        <f t="shared" si="2"/>
        <v>埼玉県杉戸町</v>
      </c>
      <c r="AD181" s="457">
        <v>10.42</v>
      </c>
      <c r="AE181" s="435">
        <v>10.33</v>
      </c>
      <c r="AF181" s="456">
        <v>10.27</v>
      </c>
      <c r="AG181" s="414"/>
      <c r="AH181" s="414"/>
    </row>
    <row r="182" spans="22:34" ht="14.25" thickBot="1">
      <c r="V182" s="6" t="s">
        <v>2208</v>
      </c>
      <c r="W182" s="4" t="s">
        <v>758</v>
      </c>
      <c r="X182" s="2"/>
      <c r="Y182" s="432" t="s">
        <v>684</v>
      </c>
      <c r="Z182" s="433">
        <v>0.06</v>
      </c>
      <c r="AA182" s="474" t="s">
        <v>326</v>
      </c>
      <c r="AB182" s="435" t="s">
        <v>759</v>
      </c>
      <c r="AC182" s="456" t="str">
        <f t="shared" si="2"/>
        <v>埼玉県松伏町</v>
      </c>
      <c r="AD182" s="457">
        <v>10.42</v>
      </c>
      <c r="AE182" s="435">
        <v>10.33</v>
      </c>
      <c r="AF182" s="456">
        <v>10.27</v>
      </c>
      <c r="AG182" s="414"/>
      <c r="AH182" s="414"/>
    </row>
    <row r="183" spans="22:34" ht="14.25" thickBot="1">
      <c r="V183" s="6" t="s">
        <v>2208</v>
      </c>
      <c r="W183" s="4" t="s">
        <v>760</v>
      </c>
      <c r="X183" s="2"/>
      <c r="Y183" s="432" t="s">
        <v>684</v>
      </c>
      <c r="Z183" s="433">
        <v>0.06</v>
      </c>
      <c r="AA183" s="474" t="s">
        <v>331</v>
      </c>
      <c r="AB183" s="435" t="s">
        <v>761</v>
      </c>
      <c r="AC183" s="456" t="str">
        <f t="shared" si="2"/>
        <v>千葉県木更津市</v>
      </c>
      <c r="AD183" s="457">
        <v>10.42</v>
      </c>
      <c r="AE183" s="435">
        <v>10.33</v>
      </c>
      <c r="AF183" s="456">
        <v>10.27</v>
      </c>
      <c r="AG183" s="414"/>
      <c r="AH183" s="414"/>
    </row>
    <row r="184" spans="22:34" ht="14.25" thickBot="1">
      <c r="V184" s="6" t="s">
        <v>2208</v>
      </c>
      <c r="W184" s="4" t="s">
        <v>762</v>
      </c>
      <c r="X184" s="2"/>
      <c r="Y184" s="432" t="s">
        <v>684</v>
      </c>
      <c r="Z184" s="433">
        <v>0.06</v>
      </c>
      <c r="AA184" s="474" t="s">
        <v>331</v>
      </c>
      <c r="AB184" s="435" t="s">
        <v>763</v>
      </c>
      <c r="AC184" s="456" t="str">
        <f t="shared" si="2"/>
        <v>千葉県野田市</v>
      </c>
      <c r="AD184" s="457">
        <v>10.42</v>
      </c>
      <c r="AE184" s="435">
        <v>10.33</v>
      </c>
      <c r="AF184" s="456">
        <v>10.27</v>
      </c>
      <c r="AG184" s="414"/>
      <c r="AH184" s="414"/>
    </row>
    <row r="185" spans="22:34" ht="14.25" thickBot="1">
      <c r="V185" s="6" t="s">
        <v>2208</v>
      </c>
      <c r="W185" s="4" t="s">
        <v>764</v>
      </c>
      <c r="X185" s="2"/>
      <c r="Y185" s="432" t="s">
        <v>684</v>
      </c>
      <c r="Z185" s="433">
        <v>0.06</v>
      </c>
      <c r="AA185" s="474" t="s">
        <v>331</v>
      </c>
      <c r="AB185" s="435" t="s">
        <v>765</v>
      </c>
      <c r="AC185" s="456" t="str">
        <f t="shared" si="2"/>
        <v>千葉県茂原市</v>
      </c>
      <c r="AD185" s="457">
        <v>10.42</v>
      </c>
      <c r="AE185" s="435">
        <v>10.33</v>
      </c>
      <c r="AF185" s="456">
        <v>10.27</v>
      </c>
      <c r="AG185" s="414"/>
      <c r="AH185" s="414"/>
    </row>
    <row r="186" spans="22:34" ht="14.25" thickBot="1">
      <c r="V186" s="6" t="s">
        <v>2208</v>
      </c>
      <c r="W186" s="4" t="s">
        <v>766</v>
      </c>
      <c r="X186" s="2"/>
      <c r="Y186" s="432" t="s">
        <v>684</v>
      </c>
      <c r="Z186" s="433">
        <v>0.06</v>
      </c>
      <c r="AA186" s="474" t="s">
        <v>331</v>
      </c>
      <c r="AB186" s="435" t="s">
        <v>767</v>
      </c>
      <c r="AC186" s="456" t="str">
        <f t="shared" si="2"/>
        <v>千葉県柏市</v>
      </c>
      <c r="AD186" s="457">
        <v>10.42</v>
      </c>
      <c r="AE186" s="435">
        <v>10.33</v>
      </c>
      <c r="AF186" s="456">
        <v>10.27</v>
      </c>
      <c r="AG186" s="414"/>
      <c r="AH186" s="414"/>
    </row>
    <row r="187" spans="22:34">
      <c r="V187" s="6" t="s">
        <v>2208</v>
      </c>
      <c r="W187" s="4" t="s">
        <v>768</v>
      </c>
      <c r="X187" s="2"/>
      <c r="Y187" s="432" t="s">
        <v>684</v>
      </c>
      <c r="Z187" s="433">
        <v>0.06</v>
      </c>
      <c r="AA187" s="474" t="s">
        <v>331</v>
      </c>
      <c r="AB187" s="435" t="s">
        <v>769</v>
      </c>
      <c r="AC187" s="456" t="str">
        <f t="shared" si="2"/>
        <v>千葉県流山市</v>
      </c>
      <c r="AD187" s="457">
        <v>10.42</v>
      </c>
      <c r="AE187" s="435">
        <v>10.33</v>
      </c>
      <c r="AF187" s="456">
        <v>10.27</v>
      </c>
      <c r="AG187" s="414"/>
      <c r="AH187" s="414"/>
    </row>
    <row r="188" spans="22:34">
      <c r="V188" s="4" t="s">
        <v>287</v>
      </c>
      <c r="W188" s="4" t="s">
        <v>770</v>
      </c>
      <c r="X188" s="2"/>
      <c r="Y188" s="432" t="s">
        <v>684</v>
      </c>
      <c r="Z188" s="433">
        <v>0.06</v>
      </c>
      <c r="AA188" s="474" t="s">
        <v>331</v>
      </c>
      <c r="AB188" s="435" t="s">
        <v>771</v>
      </c>
      <c r="AC188" s="456" t="str">
        <f t="shared" si="2"/>
        <v>千葉県我孫子市</v>
      </c>
      <c r="AD188" s="457">
        <v>10.42</v>
      </c>
      <c r="AE188" s="435">
        <v>10.33</v>
      </c>
      <c r="AF188" s="456">
        <v>10.27</v>
      </c>
      <c r="AG188" s="414"/>
      <c r="AH188" s="414"/>
    </row>
    <row r="189" spans="22:34">
      <c r="V189" s="4" t="s">
        <v>287</v>
      </c>
      <c r="W189" s="4" t="s">
        <v>772</v>
      </c>
      <c r="X189" s="2"/>
      <c r="Y189" s="432" t="s">
        <v>684</v>
      </c>
      <c r="Z189" s="433">
        <v>0.06</v>
      </c>
      <c r="AA189" s="474" t="s">
        <v>331</v>
      </c>
      <c r="AB189" s="435" t="s">
        <v>773</v>
      </c>
      <c r="AC189" s="456" t="str">
        <f t="shared" si="2"/>
        <v>千葉県鎌ケ谷市</v>
      </c>
      <c r="AD189" s="457">
        <v>10.42</v>
      </c>
      <c r="AE189" s="435">
        <v>10.33</v>
      </c>
      <c r="AF189" s="456">
        <v>10.27</v>
      </c>
      <c r="AG189" s="414"/>
      <c r="AH189" s="414"/>
    </row>
    <row r="190" spans="22:34">
      <c r="V190" s="4" t="s">
        <v>287</v>
      </c>
      <c r="W190" s="4" t="s">
        <v>774</v>
      </c>
      <c r="X190" s="2"/>
      <c r="Y190" s="432" t="s">
        <v>684</v>
      </c>
      <c r="Z190" s="433">
        <v>0.06</v>
      </c>
      <c r="AA190" s="474" t="s">
        <v>331</v>
      </c>
      <c r="AB190" s="435" t="s">
        <v>775</v>
      </c>
      <c r="AC190" s="456" t="str">
        <f t="shared" si="2"/>
        <v>千葉県白井市</v>
      </c>
      <c r="AD190" s="457">
        <v>10.42</v>
      </c>
      <c r="AE190" s="435">
        <v>10.33</v>
      </c>
      <c r="AF190" s="456">
        <v>10.27</v>
      </c>
      <c r="AG190" s="414"/>
      <c r="AH190" s="414"/>
    </row>
    <row r="191" spans="22:34">
      <c r="V191" s="4" t="s">
        <v>287</v>
      </c>
      <c r="W191" s="4" t="s">
        <v>776</v>
      </c>
      <c r="X191" s="2"/>
      <c r="Y191" s="432" t="s">
        <v>684</v>
      </c>
      <c r="Z191" s="433">
        <v>0.06</v>
      </c>
      <c r="AA191" s="474" t="s">
        <v>331</v>
      </c>
      <c r="AB191" s="435" t="s">
        <v>777</v>
      </c>
      <c r="AC191" s="456" t="str">
        <f t="shared" si="2"/>
        <v>千葉県酒々井町</v>
      </c>
      <c r="AD191" s="457">
        <v>10.42</v>
      </c>
      <c r="AE191" s="435">
        <v>10.33</v>
      </c>
      <c r="AF191" s="456">
        <v>10.27</v>
      </c>
      <c r="AG191" s="414"/>
      <c r="AH191" s="414"/>
    </row>
    <row r="192" spans="22:34">
      <c r="V192" s="4" t="s">
        <v>287</v>
      </c>
      <c r="W192" s="4" t="s">
        <v>778</v>
      </c>
      <c r="X192" s="2"/>
      <c r="Y192" s="432" t="s">
        <v>684</v>
      </c>
      <c r="Z192" s="433">
        <v>0.06</v>
      </c>
      <c r="AA192" s="474" t="s">
        <v>4</v>
      </c>
      <c r="AB192" s="435" t="s">
        <v>779</v>
      </c>
      <c r="AC192" s="456" t="str">
        <f t="shared" si="2"/>
        <v>東京都武蔵村山市</v>
      </c>
      <c r="AD192" s="457">
        <v>10.42</v>
      </c>
      <c r="AE192" s="435">
        <v>10.33</v>
      </c>
      <c r="AF192" s="456">
        <v>10.27</v>
      </c>
      <c r="AG192" s="414"/>
      <c r="AH192" s="414"/>
    </row>
    <row r="193" spans="22:34">
      <c r="V193" s="4" t="s">
        <v>287</v>
      </c>
      <c r="W193" s="4" t="s">
        <v>780</v>
      </c>
      <c r="X193" s="2"/>
      <c r="Y193" s="432" t="s">
        <v>684</v>
      </c>
      <c r="Z193" s="433">
        <v>0.06</v>
      </c>
      <c r="AA193" s="474" t="s">
        <v>4</v>
      </c>
      <c r="AB193" s="435" t="s">
        <v>781</v>
      </c>
      <c r="AC193" s="456" t="str">
        <f t="shared" si="2"/>
        <v>東京都羽村市</v>
      </c>
      <c r="AD193" s="457">
        <v>10.42</v>
      </c>
      <c r="AE193" s="435">
        <v>10.33</v>
      </c>
      <c r="AF193" s="456">
        <v>10.27</v>
      </c>
      <c r="AG193" s="414"/>
      <c r="AH193" s="414"/>
    </row>
    <row r="194" spans="22:34">
      <c r="V194" s="4" t="s">
        <v>287</v>
      </c>
      <c r="W194" s="4" t="s">
        <v>782</v>
      </c>
      <c r="X194" s="2"/>
      <c r="Y194" s="432" t="s">
        <v>684</v>
      </c>
      <c r="Z194" s="433">
        <v>0.06</v>
      </c>
      <c r="AA194" s="474" t="s">
        <v>4</v>
      </c>
      <c r="AB194" s="435" t="s">
        <v>783</v>
      </c>
      <c r="AC194" s="456" t="str">
        <f t="shared" si="2"/>
        <v>東京都瑞穂町</v>
      </c>
      <c r="AD194" s="457">
        <v>10.42</v>
      </c>
      <c r="AE194" s="435">
        <v>10.33</v>
      </c>
      <c r="AF194" s="456">
        <v>10.27</v>
      </c>
      <c r="AG194" s="414"/>
      <c r="AH194" s="414"/>
    </row>
    <row r="195" spans="22:34">
      <c r="V195" s="4" t="s">
        <v>287</v>
      </c>
      <c r="W195" s="4" t="s">
        <v>784</v>
      </c>
      <c r="X195" s="2"/>
      <c r="Y195" s="432" t="s">
        <v>684</v>
      </c>
      <c r="Z195" s="433">
        <v>0.06</v>
      </c>
      <c r="AA195" s="474" t="s">
        <v>4</v>
      </c>
      <c r="AB195" s="435" t="s">
        <v>785</v>
      </c>
      <c r="AC195" s="456" t="str">
        <f t="shared" si="2"/>
        <v>東京都奥多摩町</v>
      </c>
      <c r="AD195" s="457">
        <v>10.42</v>
      </c>
      <c r="AE195" s="435">
        <v>10.33</v>
      </c>
      <c r="AF195" s="456">
        <v>10.27</v>
      </c>
      <c r="AG195" s="414"/>
      <c r="AH195" s="414"/>
    </row>
    <row r="196" spans="22:34">
      <c r="V196" s="4" t="s">
        <v>287</v>
      </c>
      <c r="W196" s="4" t="s">
        <v>786</v>
      </c>
      <c r="X196" s="2"/>
      <c r="Y196" s="432" t="s">
        <v>684</v>
      </c>
      <c r="Z196" s="433">
        <v>0.06</v>
      </c>
      <c r="AA196" s="474" t="s">
        <v>4</v>
      </c>
      <c r="AB196" s="435" t="s">
        <v>787</v>
      </c>
      <c r="AC196" s="456" t="str">
        <f t="shared" ref="AC196:AC259" si="3">AA196&amp;AB196</f>
        <v>東京都檜原村</v>
      </c>
      <c r="AD196" s="457">
        <v>10.42</v>
      </c>
      <c r="AE196" s="435">
        <v>10.33</v>
      </c>
      <c r="AF196" s="456">
        <v>10.27</v>
      </c>
      <c r="AG196" s="414"/>
      <c r="AH196" s="414"/>
    </row>
    <row r="197" spans="22:34">
      <c r="V197" s="4" t="s">
        <v>287</v>
      </c>
      <c r="W197" s="4" t="s">
        <v>788</v>
      </c>
      <c r="X197" s="2"/>
      <c r="Y197" s="432" t="s">
        <v>684</v>
      </c>
      <c r="Z197" s="433">
        <v>0.06</v>
      </c>
      <c r="AA197" s="474" t="s">
        <v>338</v>
      </c>
      <c r="AB197" s="435" t="s">
        <v>789</v>
      </c>
      <c r="AC197" s="456" t="str">
        <f t="shared" si="3"/>
        <v>神奈川県秦野市</v>
      </c>
      <c r="AD197" s="457">
        <v>10.42</v>
      </c>
      <c r="AE197" s="435">
        <v>10.33</v>
      </c>
      <c r="AF197" s="456">
        <v>10.27</v>
      </c>
      <c r="AG197" s="414"/>
      <c r="AH197" s="414"/>
    </row>
    <row r="198" spans="22:34">
      <c r="V198" s="4" t="s">
        <v>287</v>
      </c>
      <c r="W198" s="4" t="s">
        <v>790</v>
      </c>
      <c r="X198" s="2"/>
      <c r="Y198" s="432" t="s">
        <v>684</v>
      </c>
      <c r="Z198" s="433">
        <v>0.06</v>
      </c>
      <c r="AA198" s="474" t="s">
        <v>338</v>
      </c>
      <c r="AB198" s="435" t="s">
        <v>791</v>
      </c>
      <c r="AC198" s="456" t="str">
        <f t="shared" si="3"/>
        <v>神奈川県大磯町</v>
      </c>
      <c r="AD198" s="457">
        <v>10.42</v>
      </c>
      <c r="AE198" s="435">
        <v>10.33</v>
      </c>
      <c r="AF198" s="456">
        <v>10.27</v>
      </c>
      <c r="AG198" s="414"/>
      <c r="AH198" s="414"/>
    </row>
    <row r="199" spans="22:34">
      <c r="V199" s="4" t="s">
        <v>287</v>
      </c>
      <c r="W199" s="4" t="s">
        <v>792</v>
      </c>
      <c r="X199" s="2"/>
      <c r="Y199" s="432" t="s">
        <v>684</v>
      </c>
      <c r="Z199" s="433">
        <v>0.06</v>
      </c>
      <c r="AA199" s="474" t="s">
        <v>338</v>
      </c>
      <c r="AB199" s="435" t="s">
        <v>793</v>
      </c>
      <c r="AC199" s="456" t="str">
        <f t="shared" si="3"/>
        <v>神奈川県二宮町</v>
      </c>
      <c r="AD199" s="457">
        <v>10.42</v>
      </c>
      <c r="AE199" s="435">
        <v>10.33</v>
      </c>
      <c r="AF199" s="456">
        <v>10.27</v>
      </c>
      <c r="AG199" s="414"/>
      <c r="AH199" s="414"/>
    </row>
    <row r="200" spans="22:34">
      <c r="V200" s="4" t="s">
        <v>287</v>
      </c>
      <c r="W200" s="4" t="s">
        <v>794</v>
      </c>
      <c r="X200" s="2"/>
      <c r="Y200" s="432" t="s">
        <v>684</v>
      </c>
      <c r="Z200" s="433">
        <v>0.06</v>
      </c>
      <c r="AA200" s="474" t="s">
        <v>338</v>
      </c>
      <c r="AB200" s="435" t="s">
        <v>795</v>
      </c>
      <c r="AC200" s="456" t="str">
        <f t="shared" si="3"/>
        <v>神奈川県中井町</v>
      </c>
      <c r="AD200" s="457">
        <v>10.42</v>
      </c>
      <c r="AE200" s="435">
        <v>10.33</v>
      </c>
      <c r="AF200" s="456">
        <v>10.27</v>
      </c>
      <c r="AG200" s="414"/>
      <c r="AH200" s="414"/>
    </row>
    <row r="201" spans="22:34">
      <c r="V201" s="4" t="s">
        <v>287</v>
      </c>
      <c r="W201" s="4" t="s">
        <v>796</v>
      </c>
      <c r="X201" s="2"/>
      <c r="Y201" s="432" t="s">
        <v>684</v>
      </c>
      <c r="Z201" s="433">
        <v>0.06</v>
      </c>
      <c r="AA201" s="474" t="s">
        <v>338</v>
      </c>
      <c r="AB201" s="435" t="s">
        <v>797</v>
      </c>
      <c r="AC201" s="456" t="str">
        <f t="shared" si="3"/>
        <v>神奈川県清川村</v>
      </c>
      <c r="AD201" s="457">
        <v>10.42</v>
      </c>
      <c r="AE201" s="435">
        <v>10.33</v>
      </c>
      <c r="AF201" s="456">
        <v>10.27</v>
      </c>
      <c r="AG201" s="414"/>
      <c r="AH201" s="414"/>
    </row>
    <row r="202" spans="22:34">
      <c r="V202" s="4" t="s">
        <v>287</v>
      </c>
      <c r="W202" s="4" t="s">
        <v>798</v>
      </c>
      <c r="X202" s="2"/>
      <c r="Y202" s="432" t="s">
        <v>684</v>
      </c>
      <c r="Z202" s="433">
        <v>0.06</v>
      </c>
      <c r="AA202" s="474" t="s">
        <v>368</v>
      </c>
      <c r="AB202" s="435" t="s">
        <v>799</v>
      </c>
      <c r="AC202" s="456" t="str">
        <f t="shared" si="3"/>
        <v>岐阜県岐阜市</v>
      </c>
      <c r="AD202" s="457">
        <v>10.42</v>
      </c>
      <c r="AE202" s="435">
        <v>10.33</v>
      </c>
      <c r="AF202" s="456">
        <v>10.27</v>
      </c>
      <c r="AG202" s="414"/>
      <c r="AH202" s="414"/>
    </row>
    <row r="203" spans="22:34">
      <c r="V203" s="4" t="s">
        <v>287</v>
      </c>
      <c r="W203" s="4" t="s">
        <v>800</v>
      </c>
      <c r="X203" s="2"/>
      <c r="Y203" s="432" t="s">
        <v>684</v>
      </c>
      <c r="Z203" s="433">
        <v>0.06</v>
      </c>
      <c r="AA203" s="474" t="s">
        <v>372</v>
      </c>
      <c r="AB203" s="435" t="s">
        <v>801</v>
      </c>
      <c r="AC203" s="456" t="str">
        <f t="shared" si="3"/>
        <v>静岡県静岡市</v>
      </c>
      <c r="AD203" s="457">
        <v>10.42</v>
      </c>
      <c r="AE203" s="435">
        <v>10.33</v>
      </c>
      <c r="AF203" s="456">
        <v>10.27</v>
      </c>
      <c r="AG203" s="414"/>
      <c r="AH203" s="414"/>
    </row>
    <row r="204" spans="22:34">
      <c r="V204" s="4" t="s">
        <v>287</v>
      </c>
      <c r="W204" s="4" t="s">
        <v>802</v>
      </c>
      <c r="X204" s="2"/>
      <c r="Y204" s="432" t="s">
        <v>684</v>
      </c>
      <c r="Z204" s="433">
        <v>0.06</v>
      </c>
      <c r="AA204" s="474" t="s">
        <v>376</v>
      </c>
      <c r="AB204" s="435" t="s">
        <v>803</v>
      </c>
      <c r="AC204" s="456" t="str">
        <f t="shared" si="3"/>
        <v>愛知県岡崎市</v>
      </c>
      <c r="AD204" s="457">
        <v>10.42</v>
      </c>
      <c r="AE204" s="435">
        <v>10.33</v>
      </c>
      <c r="AF204" s="456">
        <v>10.27</v>
      </c>
      <c r="AG204" s="414"/>
      <c r="AH204" s="414"/>
    </row>
    <row r="205" spans="22:34">
      <c r="V205" s="4" t="s">
        <v>287</v>
      </c>
      <c r="W205" s="4" t="s">
        <v>804</v>
      </c>
      <c r="X205" s="2"/>
      <c r="Y205" s="432" t="s">
        <v>684</v>
      </c>
      <c r="Z205" s="433">
        <v>0.06</v>
      </c>
      <c r="AA205" s="474" t="s">
        <v>376</v>
      </c>
      <c r="AB205" s="435" t="s">
        <v>805</v>
      </c>
      <c r="AC205" s="456" t="str">
        <f t="shared" si="3"/>
        <v>愛知県一宮市</v>
      </c>
      <c r="AD205" s="457">
        <v>10.42</v>
      </c>
      <c r="AE205" s="435">
        <v>10.33</v>
      </c>
      <c r="AF205" s="456">
        <v>10.27</v>
      </c>
      <c r="AG205" s="414"/>
      <c r="AH205" s="414"/>
    </row>
    <row r="206" spans="22:34">
      <c r="V206" s="4" t="s">
        <v>287</v>
      </c>
      <c r="W206" s="4" t="s">
        <v>806</v>
      </c>
      <c r="X206" s="2"/>
      <c r="Y206" s="432" t="s">
        <v>684</v>
      </c>
      <c r="Z206" s="433">
        <v>0.06</v>
      </c>
      <c r="AA206" s="474" t="s">
        <v>376</v>
      </c>
      <c r="AB206" s="435" t="s">
        <v>807</v>
      </c>
      <c r="AC206" s="456" t="str">
        <f t="shared" si="3"/>
        <v>愛知県瀬戸市</v>
      </c>
      <c r="AD206" s="457">
        <v>10.42</v>
      </c>
      <c r="AE206" s="435">
        <v>10.33</v>
      </c>
      <c r="AF206" s="456">
        <v>10.27</v>
      </c>
      <c r="AG206" s="414"/>
      <c r="AH206" s="414"/>
    </row>
    <row r="207" spans="22:34">
      <c r="V207" s="4" t="s">
        <v>287</v>
      </c>
      <c r="W207" s="4" t="s">
        <v>808</v>
      </c>
      <c r="X207" s="2"/>
      <c r="Y207" s="432" t="s">
        <v>684</v>
      </c>
      <c r="Z207" s="433">
        <v>0.06</v>
      </c>
      <c r="AA207" s="474" t="s">
        <v>376</v>
      </c>
      <c r="AB207" s="435" t="s">
        <v>809</v>
      </c>
      <c r="AC207" s="456" t="str">
        <f t="shared" si="3"/>
        <v>愛知県春日井市</v>
      </c>
      <c r="AD207" s="457">
        <v>10.42</v>
      </c>
      <c r="AE207" s="435">
        <v>10.33</v>
      </c>
      <c r="AF207" s="456">
        <v>10.27</v>
      </c>
      <c r="AG207" s="414"/>
      <c r="AH207" s="414"/>
    </row>
    <row r="208" spans="22:34">
      <c r="V208" s="4" t="s">
        <v>287</v>
      </c>
      <c r="W208" s="4" t="s">
        <v>810</v>
      </c>
      <c r="X208" s="2"/>
      <c r="Y208" s="432" t="s">
        <v>684</v>
      </c>
      <c r="Z208" s="433">
        <v>0.06</v>
      </c>
      <c r="AA208" s="474" t="s">
        <v>376</v>
      </c>
      <c r="AB208" s="435" t="s">
        <v>811</v>
      </c>
      <c r="AC208" s="456" t="str">
        <f t="shared" si="3"/>
        <v>愛知県津島市</v>
      </c>
      <c r="AD208" s="457">
        <v>10.42</v>
      </c>
      <c r="AE208" s="435">
        <v>10.33</v>
      </c>
      <c r="AF208" s="456">
        <v>10.27</v>
      </c>
      <c r="AG208" s="414"/>
      <c r="AH208" s="414"/>
    </row>
    <row r="209" spans="22:34">
      <c r="V209" s="4" t="s">
        <v>287</v>
      </c>
      <c r="W209" s="4" t="s">
        <v>812</v>
      </c>
      <c r="X209" s="2"/>
      <c r="Y209" s="432" t="s">
        <v>684</v>
      </c>
      <c r="Z209" s="433">
        <v>0.06</v>
      </c>
      <c r="AA209" s="474" t="s">
        <v>376</v>
      </c>
      <c r="AB209" s="435" t="s">
        <v>813</v>
      </c>
      <c r="AC209" s="456" t="str">
        <f t="shared" si="3"/>
        <v>愛知県碧南市</v>
      </c>
      <c r="AD209" s="457">
        <v>10.42</v>
      </c>
      <c r="AE209" s="435">
        <v>10.33</v>
      </c>
      <c r="AF209" s="456">
        <v>10.27</v>
      </c>
      <c r="AG209" s="414"/>
      <c r="AH209" s="414"/>
    </row>
    <row r="210" spans="22:34">
      <c r="V210" s="4" t="s">
        <v>287</v>
      </c>
      <c r="W210" s="4" t="s">
        <v>814</v>
      </c>
      <c r="X210" s="2"/>
      <c r="Y210" s="432" t="s">
        <v>684</v>
      </c>
      <c r="Z210" s="433">
        <v>0.06</v>
      </c>
      <c r="AA210" s="474" t="s">
        <v>376</v>
      </c>
      <c r="AB210" s="435" t="s">
        <v>815</v>
      </c>
      <c r="AC210" s="456" t="str">
        <f t="shared" si="3"/>
        <v>愛知県安城市</v>
      </c>
      <c r="AD210" s="457">
        <v>10.42</v>
      </c>
      <c r="AE210" s="435">
        <v>10.33</v>
      </c>
      <c r="AF210" s="456">
        <v>10.27</v>
      </c>
      <c r="AG210" s="414"/>
      <c r="AH210" s="414"/>
    </row>
    <row r="211" spans="22:34">
      <c r="V211" s="4" t="s">
        <v>287</v>
      </c>
      <c r="W211" s="4" t="s">
        <v>816</v>
      </c>
      <c r="X211" s="2"/>
      <c r="Y211" s="432" t="s">
        <v>684</v>
      </c>
      <c r="Z211" s="433">
        <v>0.06</v>
      </c>
      <c r="AA211" s="474" t="s">
        <v>376</v>
      </c>
      <c r="AB211" s="435" t="s">
        <v>817</v>
      </c>
      <c r="AC211" s="456" t="str">
        <f t="shared" si="3"/>
        <v>愛知県西尾市</v>
      </c>
      <c r="AD211" s="457">
        <v>10.42</v>
      </c>
      <c r="AE211" s="435">
        <v>10.33</v>
      </c>
      <c r="AF211" s="456">
        <v>10.27</v>
      </c>
      <c r="AG211" s="414"/>
      <c r="AH211" s="414"/>
    </row>
    <row r="212" spans="22:34">
      <c r="V212" s="4" t="s">
        <v>287</v>
      </c>
      <c r="W212" s="4" t="s">
        <v>818</v>
      </c>
      <c r="X212" s="2"/>
      <c r="Y212" s="432" t="s">
        <v>684</v>
      </c>
      <c r="Z212" s="433">
        <v>0.06</v>
      </c>
      <c r="AA212" s="474" t="s">
        <v>376</v>
      </c>
      <c r="AB212" s="435" t="s">
        <v>819</v>
      </c>
      <c r="AC212" s="456" t="str">
        <f t="shared" si="3"/>
        <v>愛知県犬山市</v>
      </c>
      <c r="AD212" s="457">
        <v>10.42</v>
      </c>
      <c r="AE212" s="435">
        <v>10.33</v>
      </c>
      <c r="AF212" s="456">
        <v>10.27</v>
      </c>
      <c r="AG212" s="414"/>
      <c r="AH212" s="414"/>
    </row>
    <row r="213" spans="22:34">
      <c r="V213" s="4" t="s">
        <v>287</v>
      </c>
      <c r="W213" s="4" t="s">
        <v>820</v>
      </c>
      <c r="X213" s="2"/>
      <c r="Y213" s="432" t="s">
        <v>684</v>
      </c>
      <c r="Z213" s="433">
        <v>0.06</v>
      </c>
      <c r="AA213" s="474" t="s">
        <v>376</v>
      </c>
      <c r="AB213" s="435" t="s">
        <v>821</v>
      </c>
      <c r="AC213" s="456" t="str">
        <f t="shared" si="3"/>
        <v>愛知県江南市</v>
      </c>
      <c r="AD213" s="457">
        <v>10.42</v>
      </c>
      <c r="AE213" s="435">
        <v>10.33</v>
      </c>
      <c r="AF213" s="456">
        <v>10.27</v>
      </c>
      <c r="AG213" s="414"/>
      <c r="AH213" s="414"/>
    </row>
    <row r="214" spans="22:34">
      <c r="V214" s="4" t="s">
        <v>287</v>
      </c>
      <c r="W214" s="4" t="s">
        <v>822</v>
      </c>
      <c r="X214" s="2"/>
      <c r="Y214" s="432" t="s">
        <v>684</v>
      </c>
      <c r="Z214" s="433">
        <v>0.06</v>
      </c>
      <c r="AA214" s="474" t="s">
        <v>376</v>
      </c>
      <c r="AB214" s="435" t="s">
        <v>823</v>
      </c>
      <c r="AC214" s="456" t="str">
        <f t="shared" si="3"/>
        <v>愛知県稲沢市</v>
      </c>
      <c r="AD214" s="457">
        <v>10.42</v>
      </c>
      <c r="AE214" s="435">
        <v>10.33</v>
      </c>
      <c r="AF214" s="456">
        <v>10.27</v>
      </c>
      <c r="AG214" s="414"/>
      <c r="AH214" s="414"/>
    </row>
    <row r="215" spans="22:34">
      <c r="V215" s="4" t="s">
        <v>287</v>
      </c>
      <c r="W215" s="4" t="s">
        <v>824</v>
      </c>
      <c r="X215" s="2"/>
      <c r="Y215" s="432" t="s">
        <v>684</v>
      </c>
      <c r="Z215" s="433">
        <v>0.06</v>
      </c>
      <c r="AA215" s="474" t="s">
        <v>376</v>
      </c>
      <c r="AB215" s="435" t="s">
        <v>825</v>
      </c>
      <c r="AC215" s="456" t="str">
        <f t="shared" si="3"/>
        <v>愛知県尾張旭市</v>
      </c>
      <c r="AD215" s="457">
        <v>10.42</v>
      </c>
      <c r="AE215" s="435">
        <v>10.33</v>
      </c>
      <c r="AF215" s="456">
        <v>10.27</v>
      </c>
      <c r="AG215" s="414"/>
      <c r="AH215" s="414"/>
    </row>
    <row r="216" spans="22:34">
      <c r="V216" s="4" t="s">
        <v>287</v>
      </c>
      <c r="W216" s="4" t="s">
        <v>826</v>
      </c>
      <c r="X216" s="2"/>
      <c r="Y216" s="432" t="s">
        <v>684</v>
      </c>
      <c r="Z216" s="433">
        <v>0.06</v>
      </c>
      <c r="AA216" s="474" t="s">
        <v>376</v>
      </c>
      <c r="AB216" s="435" t="s">
        <v>827</v>
      </c>
      <c r="AC216" s="456" t="str">
        <f t="shared" si="3"/>
        <v>愛知県岩倉市</v>
      </c>
      <c r="AD216" s="457">
        <v>10.42</v>
      </c>
      <c r="AE216" s="435">
        <v>10.33</v>
      </c>
      <c r="AF216" s="456">
        <v>10.27</v>
      </c>
      <c r="AG216" s="414"/>
      <c r="AH216" s="414"/>
    </row>
    <row r="217" spans="22:34">
      <c r="V217" s="4" t="s">
        <v>287</v>
      </c>
      <c r="W217" s="4" t="s">
        <v>828</v>
      </c>
      <c r="X217" s="2"/>
      <c r="Y217" s="432" t="s">
        <v>684</v>
      </c>
      <c r="Z217" s="433">
        <v>0.06</v>
      </c>
      <c r="AA217" s="474" t="s">
        <v>376</v>
      </c>
      <c r="AB217" s="435" t="s">
        <v>829</v>
      </c>
      <c r="AC217" s="456" t="str">
        <f t="shared" si="3"/>
        <v>愛知県日進市</v>
      </c>
      <c r="AD217" s="457">
        <v>10.42</v>
      </c>
      <c r="AE217" s="435">
        <v>10.33</v>
      </c>
      <c r="AF217" s="456">
        <v>10.27</v>
      </c>
      <c r="AG217" s="414"/>
      <c r="AH217" s="414"/>
    </row>
    <row r="218" spans="22:34">
      <c r="V218" s="4" t="s">
        <v>287</v>
      </c>
      <c r="W218" s="4" t="s">
        <v>830</v>
      </c>
      <c r="X218" s="2"/>
      <c r="Y218" s="432" t="s">
        <v>684</v>
      </c>
      <c r="Z218" s="433">
        <v>0.06</v>
      </c>
      <c r="AA218" s="474" t="s">
        <v>376</v>
      </c>
      <c r="AB218" s="435" t="s">
        <v>831</v>
      </c>
      <c r="AC218" s="456" t="str">
        <f t="shared" si="3"/>
        <v>愛知県愛西市</v>
      </c>
      <c r="AD218" s="457">
        <v>10.42</v>
      </c>
      <c r="AE218" s="435">
        <v>10.33</v>
      </c>
      <c r="AF218" s="456">
        <v>10.27</v>
      </c>
      <c r="AG218" s="414"/>
      <c r="AH218" s="414"/>
    </row>
    <row r="219" spans="22:34">
      <c r="V219" s="4" t="s">
        <v>287</v>
      </c>
      <c r="W219" s="4" t="s">
        <v>832</v>
      </c>
      <c r="X219" s="2"/>
      <c r="Y219" s="432" t="s">
        <v>684</v>
      </c>
      <c r="Z219" s="433">
        <v>0.06</v>
      </c>
      <c r="AA219" s="474" t="s">
        <v>376</v>
      </c>
      <c r="AB219" s="435" t="s">
        <v>833</v>
      </c>
      <c r="AC219" s="456" t="str">
        <f t="shared" si="3"/>
        <v>愛知県清須市</v>
      </c>
      <c r="AD219" s="457">
        <v>10.42</v>
      </c>
      <c r="AE219" s="435">
        <v>10.33</v>
      </c>
      <c r="AF219" s="456">
        <v>10.27</v>
      </c>
      <c r="AG219" s="414"/>
      <c r="AH219" s="414"/>
    </row>
    <row r="220" spans="22:34">
      <c r="V220" s="4" t="s">
        <v>287</v>
      </c>
      <c r="W220" s="4" t="s">
        <v>834</v>
      </c>
      <c r="X220" s="2"/>
      <c r="Y220" s="432" t="s">
        <v>684</v>
      </c>
      <c r="Z220" s="433">
        <v>0.06</v>
      </c>
      <c r="AA220" s="474" t="s">
        <v>376</v>
      </c>
      <c r="AB220" s="435" t="s">
        <v>835</v>
      </c>
      <c r="AC220" s="456" t="str">
        <f t="shared" si="3"/>
        <v>愛知県北名古屋市</v>
      </c>
      <c r="AD220" s="457">
        <v>10.42</v>
      </c>
      <c r="AE220" s="435">
        <v>10.33</v>
      </c>
      <c r="AF220" s="456">
        <v>10.27</v>
      </c>
      <c r="AG220" s="414"/>
      <c r="AH220" s="414"/>
    </row>
    <row r="221" spans="22:34">
      <c r="V221" s="4" t="s">
        <v>287</v>
      </c>
      <c r="W221" s="4" t="s">
        <v>836</v>
      </c>
      <c r="X221" s="2"/>
      <c r="Y221" s="432" t="s">
        <v>684</v>
      </c>
      <c r="Z221" s="433">
        <v>0.06</v>
      </c>
      <c r="AA221" s="474" t="s">
        <v>376</v>
      </c>
      <c r="AB221" s="435" t="s">
        <v>837</v>
      </c>
      <c r="AC221" s="456" t="str">
        <f t="shared" si="3"/>
        <v>愛知県弥富市</v>
      </c>
      <c r="AD221" s="457">
        <v>10.42</v>
      </c>
      <c r="AE221" s="435">
        <v>10.33</v>
      </c>
      <c r="AF221" s="456">
        <v>10.27</v>
      </c>
      <c r="AG221" s="414"/>
      <c r="AH221" s="414"/>
    </row>
    <row r="222" spans="22:34">
      <c r="V222" s="4" t="s">
        <v>287</v>
      </c>
      <c r="W222" s="4" t="s">
        <v>838</v>
      </c>
      <c r="X222" s="2"/>
      <c r="Y222" s="432" t="s">
        <v>684</v>
      </c>
      <c r="Z222" s="433">
        <v>0.06</v>
      </c>
      <c r="AA222" s="474" t="s">
        <v>376</v>
      </c>
      <c r="AB222" s="435" t="s">
        <v>839</v>
      </c>
      <c r="AC222" s="456" t="str">
        <f t="shared" si="3"/>
        <v>愛知県あま市</v>
      </c>
      <c r="AD222" s="457">
        <v>10.42</v>
      </c>
      <c r="AE222" s="435">
        <v>10.33</v>
      </c>
      <c r="AF222" s="456">
        <v>10.27</v>
      </c>
      <c r="AG222" s="414"/>
      <c r="AH222" s="414"/>
    </row>
    <row r="223" spans="22:34">
      <c r="V223" s="4" t="s">
        <v>287</v>
      </c>
      <c r="W223" s="4" t="s">
        <v>840</v>
      </c>
      <c r="X223" s="2"/>
      <c r="Y223" s="432" t="s">
        <v>684</v>
      </c>
      <c r="Z223" s="433">
        <v>0.06</v>
      </c>
      <c r="AA223" s="474" t="s">
        <v>376</v>
      </c>
      <c r="AB223" s="435" t="s">
        <v>841</v>
      </c>
      <c r="AC223" s="456" t="str">
        <f t="shared" si="3"/>
        <v>愛知県長久手市</v>
      </c>
      <c r="AD223" s="457">
        <v>10.42</v>
      </c>
      <c r="AE223" s="435">
        <v>10.33</v>
      </c>
      <c r="AF223" s="456">
        <v>10.27</v>
      </c>
      <c r="AG223" s="414"/>
      <c r="AH223" s="414"/>
    </row>
    <row r="224" spans="22:34">
      <c r="V224" s="4" t="s">
        <v>287</v>
      </c>
      <c r="W224" s="4" t="s">
        <v>842</v>
      </c>
      <c r="X224" s="2"/>
      <c r="Y224" s="432" t="s">
        <v>684</v>
      </c>
      <c r="Z224" s="433">
        <v>0.06</v>
      </c>
      <c r="AA224" s="474" t="s">
        <v>376</v>
      </c>
      <c r="AB224" s="435" t="s">
        <v>843</v>
      </c>
      <c r="AC224" s="456" t="str">
        <f t="shared" si="3"/>
        <v>愛知県東郷町</v>
      </c>
      <c r="AD224" s="457">
        <v>10.42</v>
      </c>
      <c r="AE224" s="435">
        <v>10.33</v>
      </c>
      <c r="AF224" s="456">
        <v>10.27</v>
      </c>
      <c r="AG224" s="414"/>
      <c r="AH224" s="414"/>
    </row>
    <row r="225" spans="22:34">
      <c r="V225" s="4" t="s">
        <v>287</v>
      </c>
      <c r="W225" s="4" t="s">
        <v>844</v>
      </c>
      <c r="X225" s="2"/>
      <c r="Y225" s="432" t="s">
        <v>684</v>
      </c>
      <c r="Z225" s="433">
        <v>0.06</v>
      </c>
      <c r="AA225" s="474" t="s">
        <v>376</v>
      </c>
      <c r="AB225" s="435" t="s">
        <v>845</v>
      </c>
      <c r="AC225" s="456" t="str">
        <f t="shared" si="3"/>
        <v>愛知県大治町</v>
      </c>
      <c r="AD225" s="457">
        <v>10.42</v>
      </c>
      <c r="AE225" s="435">
        <v>10.33</v>
      </c>
      <c r="AF225" s="456">
        <v>10.27</v>
      </c>
      <c r="AG225" s="414"/>
      <c r="AH225" s="414"/>
    </row>
    <row r="226" spans="22:34">
      <c r="V226" s="4" t="s">
        <v>287</v>
      </c>
      <c r="W226" s="4" t="s">
        <v>846</v>
      </c>
      <c r="X226" s="2"/>
      <c r="Y226" s="432" t="s">
        <v>684</v>
      </c>
      <c r="Z226" s="433">
        <v>0.06</v>
      </c>
      <c r="AA226" s="474" t="s">
        <v>376</v>
      </c>
      <c r="AB226" s="435" t="s">
        <v>847</v>
      </c>
      <c r="AC226" s="456" t="str">
        <f t="shared" si="3"/>
        <v>愛知県蟹江町</v>
      </c>
      <c r="AD226" s="457">
        <v>10.42</v>
      </c>
      <c r="AE226" s="435">
        <v>10.33</v>
      </c>
      <c r="AF226" s="456">
        <v>10.27</v>
      </c>
      <c r="AG226" s="414"/>
      <c r="AH226" s="414"/>
    </row>
    <row r="227" spans="22:34">
      <c r="V227" s="4" t="s">
        <v>287</v>
      </c>
      <c r="W227" s="4" t="s">
        <v>848</v>
      </c>
      <c r="X227" s="2"/>
      <c r="Y227" s="432" t="s">
        <v>684</v>
      </c>
      <c r="Z227" s="433">
        <v>0.06</v>
      </c>
      <c r="AA227" s="474" t="s">
        <v>376</v>
      </c>
      <c r="AB227" s="435" t="s">
        <v>849</v>
      </c>
      <c r="AC227" s="456" t="str">
        <f t="shared" si="3"/>
        <v>愛知県豊山町</v>
      </c>
      <c r="AD227" s="457">
        <v>10.42</v>
      </c>
      <c r="AE227" s="435">
        <v>10.33</v>
      </c>
      <c r="AF227" s="456">
        <v>10.27</v>
      </c>
      <c r="AG227" s="414"/>
      <c r="AH227" s="414"/>
    </row>
    <row r="228" spans="22:34">
      <c r="V228" s="4" t="s">
        <v>291</v>
      </c>
      <c r="W228" s="4" t="s">
        <v>850</v>
      </c>
      <c r="X228" s="2"/>
      <c r="Y228" s="432" t="s">
        <v>684</v>
      </c>
      <c r="Z228" s="433">
        <v>0.06</v>
      </c>
      <c r="AA228" s="474" t="s">
        <v>376</v>
      </c>
      <c r="AB228" s="435" t="s">
        <v>851</v>
      </c>
      <c r="AC228" s="456" t="str">
        <f t="shared" si="3"/>
        <v>愛知県飛島村</v>
      </c>
      <c r="AD228" s="457">
        <v>10.42</v>
      </c>
      <c r="AE228" s="435">
        <v>10.33</v>
      </c>
      <c r="AF228" s="456">
        <v>10.27</v>
      </c>
      <c r="AG228" s="414"/>
      <c r="AH228" s="414"/>
    </row>
    <row r="229" spans="22:34">
      <c r="V229" s="4" t="s">
        <v>291</v>
      </c>
      <c r="W229" s="4" t="s">
        <v>852</v>
      </c>
      <c r="X229" s="2"/>
      <c r="Y229" s="432" t="s">
        <v>684</v>
      </c>
      <c r="Z229" s="433">
        <v>0.06</v>
      </c>
      <c r="AA229" s="474" t="s">
        <v>380</v>
      </c>
      <c r="AB229" s="435" t="s">
        <v>853</v>
      </c>
      <c r="AC229" s="456" t="str">
        <f t="shared" si="3"/>
        <v>三重県津市</v>
      </c>
      <c r="AD229" s="457">
        <v>10.42</v>
      </c>
      <c r="AE229" s="435">
        <v>10.33</v>
      </c>
      <c r="AF229" s="456">
        <v>10.27</v>
      </c>
      <c r="AG229" s="414"/>
      <c r="AH229" s="414"/>
    </row>
    <row r="230" spans="22:34">
      <c r="V230" s="4" t="s">
        <v>291</v>
      </c>
      <c r="W230" s="4" t="s">
        <v>854</v>
      </c>
      <c r="X230" s="2"/>
      <c r="Y230" s="432" t="s">
        <v>684</v>
      </c>
      <c r="Z230" s="433">
        <v>0.06</v>
      </c>
      <c r="AA230" s="474" t="s">
        <v>380</v>
      </c>
      <c r="AB230" s="435" t="s">
        <v>855</v>
      </c>
      <c r="AC230" s="456" t="str">
        <f t="shared" si="3"/>
        <v>三重県四日市市</v>
      </c>
      <c r="AD230" s="457">
        <v>10.42</v>
      </c>
      <c r="AE230" s="435">
        <v>10.33</v>
      </c>
      <c r="AF230" s="456">
        <v>10.27</v>
      </c>
      <c r="AG230" s="414"/>
      <c r="AH230" s="414"/>
    </row>
    <row r="231" spans="22:34">
      <c r="V231" s="4" t="s">
        <v>291</v>
      </c>
      <c r="W231" s="4" t="s">
        <v>856</v>
      </c>
      <c r="X231" s="2"/>
      <c r="Y231" s="432" t="s">
        <v>684</v>
      </c>
      <c r="Z231" s="433">
        <v>0.06</v>
      </c>
      <c r="AA231" s="474" t="s">
        <v>380</v>
      </c>
      <c r="AB231" s="435" t="s">
        <v>857</v>
      </c>
      <c r="AC231" s="456" t="str">
        <f t="shared" si="3"/>
        <v>三重県桑名市</v>
      </c>
      <c r="AD231" s="457">
        <v>10.42</v>
      </c>
      <c r="AE231" s="435">
        <v>10.33</v>
      </c>
      <c r="AF231" s="456">
        <v>10.27</v>
      </c>
      <c r="AG231" s="414"/>
      <c r="AH231" s="414"/>
    </row>
    <row r="232" spans="22:34">
      <c r="V232" s="4" t="s">
        <v>291</v>
      </c>
      <c r="W232" s="4" t="s">
        <v>858</v>
      </c>
      <c r="X232" s="2"/>
      <c r="Y232" s="432" t="s">
        <v>684</v>
      </c>
      <c r="Z232" s="433">
        <v>0.06</v>
      </c>
      <c r="AA232" s="474" t="s">
        <v>380</v>
      </c>
      <c r="AB232" s="435" t="s">
        <v>859</v>
      </c>
      <c r="AC232" s="456" t="str">
        <f t="shared" si="3"/>
        <v>三重県鈴鹿市</v>
      </c>
      <c r="AD232" s="457">
        <v>10.42</v>
      </c>
      <c r="AE232" s="435">
        <v>10.33</v>
      </c>
      <c r="AF232" s="456">
        <v>10.27</v>
      </c>
      <c r="AG232" s="414"/>
      <c r="AH232" s="414"/>
    </row>
    <row r="233" spans="22:34">
      <c r="V233" s="4" t="s">
        <v>291</v>
      </c>
      <c r="W233" s="4" t="s">
        <v>860</v>
      </c>
      <c r="X233" s="2"/>
      <c r="Y233" s="432" t="s">
        <v>684</v>
      </c>
      <c r="Z233" s="433">
        <v>0.06</v>
      </c>
      <c r="AA233" s="474" t="s">
        <v>380</v>
      </c>
      <c r="AB233" s="435" t="s">
        <v>861</v>
      </c>
      <c r="AC233" s="456" t="str">
        <f t="shared" si="3"/>
        <v>三重県亀山市</v>
      </c>
      <c r="AD233" s="457">
        <v>10.42</v>
      </c>
      <c r="AE233" s="435">
        <v>10.33</v>
      </c>
      <c r="AF233" s="456">
        <v>10.27</v>
      </c>
      <c r="AG233" s="414"/>
      <c r="AH233" s="414"/>
    </row>
    <row r="234" spans="22:34">
      <c r="V234" s="4" t="s">
        <v>291</v>
      </c>
      <c r="W234" s="4" t="s">
        <v>862</v>
      </c>
      <c r="X234" s="2"/>
      <c r="Y234" s="432" t="s">
        <v>684</v>
      </c>
      <c r="Z234" s="433">
        <v>0.06</v>
      </c>
      <c r="AA234" s="474" t="s">
        <v>385</v>
      </c>
      <c r="AB234" s="435" t="s">
        <v>863</v>
      </c>
      <c r="AC234" s="456" t="str">
        <f t="shared" si="3"/>
        <v>滋賀県彦根市</v>
      </c>
      <c r="AD234" s="457">
        <v>10.42</v>
      </c>
      <c r="AE234" s="435">
        <v>10.33</v>
      </c>
      <c r="AF234" s="456">
        <v>10.27</v>
      </c>
      <c r="AG234" s="414"/>
      <c r="AH234" s="414"/>
    </row>
    <row r="235" spans="22:34">
      <c r="V235" s="4" t="s">
        <v>291</v>
      </c>
      <c r="W235" s="4" t="s">
        <v>864</v>
      </c>
      <c r="X235" s="2"/>
      <c r="Y235" s="432" t="s">
        <v>684</v>
      </c>
      <c r="Z235" s="433">
        <v>0.06</v>
      </c>
      <c r="AA235" s="474" t="s">
        <v>385</v>
      </c>
      <c r="AB235" s="435" t="s">
        <v>865</v>
      </c>
      <c r="AC235" s="456" t="str">
        <f t="shared" si="3"/>
        <v>滋賀県守山市</v>
      </c>
      <c r="AD235" s="457">
        <v>10.42</v>
      </c>
      <c r="AE235" s="435">
        <v>10.33</v>
      </c>
      <c r="AF235" s="456">
        <v>10.27</v>
      </c>
      <c r="AG235" s="414"/>
      <c r="AH235" s="414"/>
    </row>
    <row r="236" spans="22:34">
      <c r="V236" s="4" t="s">
        <v>291</v>
      </c>
      <c r="W236" s="4" t="s">
        <v>866</v>
      </c>
      <c r="X236" s="2"/>
      <c r="Y236" s="432" t="s">
        <v>684</v>
      </c>
      <c r="Z236" s="433">
        <v>0.06</v>
      </c>
      <c r="AA236" s="474" t="s">
        <v>385</v>
      </c>
      <c r="AB236" s="435" t="s">
        <v>867</v>
      </c>
      <c r="AC236" s="456" t="str">
        <f t="shared" si="3"/>
        <v>滋賀県甲賀市</v>
      </c>
      <c r="AD236" s="457">
        <v>10.42</v>
      </c>
      <c r="AE236" s="435">
        <v>10.33</v>
      </c>
      <c r="AF236" s="456">
        <v>10.27</v>
      </c>
      <c r="AG236" s="414"/>
      <c r="AH236" s="414"/>
    </row>
    <row r="237" spans="22:34">
      <c r="V237" s="4" t="s">
        <v>291</v>
      </c>
      <c r="W237" s="4" t="s">
        <v>868</v>
      </c>
      <c r="X237" s="2"/>
      <c r="Y237" s="432" t="s">
        <v>684</v>
      </c>
      <c r="Z237" s="433">
        <v>0.06</v>
      </c>
      <c r="AA237" s="474" t="s">
        <v>389</v>
      </c>
      <c r="AB237" s="435" t="s">
        <v>869</v>
      </c>
      <c r="AC237" s="456" t="str">
        <f t="shared" si="3"/>
        <v>京都府宇治市</v>
      </c>
      <c r="AD237" s="457">
        <v>10.42</v>
      </c>
      <c r="AE237" s="435">
        <v>10.33</v>
      </c>
      <c r="AF237" s="456">
        <v>10.27</v>
      </c>
      <c r="AG237" s="414"/>
      <c r="AH237" s="414"/>
    </row>
    <row r="238" spans="22:34">
      <c r="V238" s="4" t="s">
        <v>291</v>
      </c>
      <c r="W238" s="4" t="s">
        <v>870</v>
      </c>
      <c r="X238" s="2"/>
      <c r="Y238" s="432" t="s">
        <v>684</v>
      </c>
      <c r="Z238" s="433">
        <v>0.06</v>
      </c>
      <c r="AA238" s="474" t="s">
        <v>389</v>
      </c>
      <c r="AB238" s="435" t="s">
        <v>871</v>
      </c>
      <c r="AC238" s="456" t="str">
        <f t="shared" si="3"/>
        <v>京都府亀岡市</v>
      </c>
      <c r="AD238" s="457">
        <v>10.42</v>
      </c>
      <c r="AE238" s="435">
        <v>10.33</v>
      </c>
      <c r="AF238" s="456">
        <v>10.27</v>
      </c>
      <c r="AG238" s="414"/>
      <c r="AH238" s="414"/>
    </row>
    <row r="239" spans="22:34">
      <c r="V239" s="4" t="s">
        <v>291</v>
      </c>
      <c r="W239" s="4" t="s">
        <v>872</v>
      </c>
      <c r="X239" s="2"/>
      <c r="Y239" s="432" t="s">
        <v>684</v>
      </c>
      <c r="Z239" s="433">
        <v>0.06</v>
      </c>
      <c r="AA239" s="474" t="s">
        <v>389</v>
      </c>
      <c r="AB239" s="435" t="s">
        <v>873</v>
      </c>
      <c r="AC239" s="456" t="str">
        <f t="shared" si="3"/>
        <v>京都府城陽市</v>
      </c>
      <c r="AD239" s="457">
        <v>10.42</v>
      </c>
      <c r="AE239" s="435">
        <v>10.33</v>
      </c>
      <c r="AF239" s="456">
        <v>10.27</v>
      </c>
      <c r="AG239" s="414"/>
      <c r="AH239" s="414"/>
    </row>
    <row r="240" spans="22:34">
      <c r="V240" s="4" t="s">
        <v>291</v>
      </c>
      <c r="W240" s="4" t="s">
        <v>874</v>
      </c>
      <c r="X240" s="2"/>
      <c r="Y240" s="432" t="s">
        <v>684</v>
      </c>
      <c r="Z240" s="433">
        <v>0.06</v>
      </c>
      <c r="AA240" s="474" t="s">
        <v>389</v>
      </c>
      <c r="AB240" s="435" t="s">
        <v>875</v>
      </c>
      <c r="AC240" s="456" t="str">
        <f t="shared" si="3"/>
        <v>京都府向日市</v>
      </c>
      <c r="AD240" s="457">
        <v>10.42</v>
      </c>
      <c r="AE240" s="435">
        <v>10.33</v>
      </c>
      <c r="AF240" s="456">
        <v>10.27</v>
      </c>
      <c r="AG240" s="414"/>
      <c r="AH240" s="414"/>
    </row>
    <row r="241" spans="22:34">
      <c r="V241" s="4" t="s">
        <v>291</v>
      </c>
      <c r="W241" s="4" t="s">
        <v>876</v>
      </c>
      <c r="X241" s="2"/>
      <c r="Y241" s="432" t="s">
        <v>684</v>
      </c>
      <c r="Z241" s="433">
        <v>0.06</v>
      </c>
      <c r="AA241" s="474" t="s">
        <v>389</v>
      </c>
      <c r="AB241" s="435" t="s">
        <v>877</v>
      </c>
      <c r="AC241" s="456" t="str">
        <f t="shared" si="3"/>
        <v>京都府八幡市</v>
      </c>
      <c r="AD241" s="457">
        <v>10.42</v>
      </c>
      <c r="AE241" s="435">
        <v>10.33</v>
      </c>
      <c r="AF241" s="456">
        <v>10.27</v>
      </c>
      <c r="AG241" s="414"/>
      <c r="AH241" s="414"/>
    </row>
    <row r="242" spans="22:34">
      <c r="V242" s="4" t="s">
        <v>291</v>
      </c>
      <c r="W242" s="4" t="s">
        <v>878</v>
      </c>
      <c r="X242" s="2"/>
      <c r="Y242" s="432" t="s">
        <v>684</v>
      </c>
      <c r="Z242" s="433">
        <v>0.06</v>
      </c>
      <c r="AA242" s="474" t="s">
        <v>389</v>
      </c>
      <c r="AB242" s="435" t="s">
        <v>879</v>
      </c>
      <c r="AC242" s="456" t="str">
        <f t="shared" si="3"/>
        <v>京都府京田辺市</v>
      </c>
      <c r="AD242" s="457">
        <v>10.42</v>
      </c>
      <c r="AE242" s="435">
        <v>10.33</v>
      </c>
      <c r="AF242" s="456">
        <v>10.27</v>
      </c>
      <c r="AG242" s="414"/>
      <c r="AH242" s="414"/>
    </row>
    <row r="243" spans="22:34">
      <c r="V243" s="4" t="s">
        <v>291</v>
      </c>
      <c r="W243" s="4" t="s">
        <v>880</v>
      </c>
      <c r="X243" s="2"/>
      <c r="Y243" s="432" t="s">
        <v>684</v>
      </c>
      <c r="Z243" s="433">
        <v>0.06</v>
      </c>
      <c r="AA243" s="474" t="s">
        <v>389</v>
      </c>
      <c r="AB243" s="435" t="s">
        <v>881</v>
      </c>
      <c r="AC243" s="456" t="str">
        <f t="shared" si="3"/>
        <v>京都府木津川市</v>
      </c>
      <c r="AD243" s="457">
        <v>10.42</v>
      </c>
      <c r="AE243" s="435">
        <v>10.33</v>
      </c>
      <c r="AF243" s="456">
        <v>10.27</v>
      </c>
      <c r="AG243" s="414"/>
      <c r="AH243" s="414"/>
    </row>
    <row r="244" spans="22:34">
      <c r="V244" s="4" t="s">
        <v>291</v>
      </c>
      <c r="W244" s="4" t="s">
        <v>882</v>
      </c>
      <c r="X244" s="2"/>
      <c r="Y244" s="432" t="s">
        <v>684</v>
      </c>
      <c r="Z244" s="433">
        <v>0.06</v>
      </c>
      <c r="AA244" s="474" t="s">
        <v>389</v>
      </c>
      <c r="AB244" s="435" t="s">
        <v>883</v>
      </c>
      <c r="AC244" s="456" t="str">
        <f t="shared" si="3"/>
        <v>京都府大山崎町</v>
      </c>
      <c r="AD244" s="457">
        <v>10.42</v>
      </c>
      <c r="AE244" s="435">
        <v>10.33</v>
      </c>
      <c r="AF244" s="456">
        <v>10.27</v>
      </c>
      <c r="AG244" s="414"/>
      <c r="AH244" s="414"/>
    </row>
    <row r="245" spans="22:34">
      <c r="V245" s="4" t="s">
        <v>291</v>
      </c>
      <c r="W245" s="4" t="s">
        <v>884</v>
      </c>
      <c r="X245" s="2"/>
      <c r="Y245" s="432" t="s">
        <v>684</v>
      </c>
      <c r="Z245" s="433">
        <v>0.06</v>
      </c>
      <c r="AA245" s="474" t="s">
        <v>389</v>
      </c>
      <c r="AB245" s="435" t="s">
        <v>885</v>
      </c>
      <c r="AC245" s="456" t="str">
        <f t="shared" si="3"/>
        <v>京都府精華町</v>
      </c>
      <c r="AD245" s="457">
        <v>10.42</v>
      </c>
      <c r="AE245" s="435">
        <v>10.33</v>
      </c>
      <c r="AF245" s="456">
        <v>10.27</v>
      </c>
      <c r="AG245" s="414"/>
      <c r="AH245" s="414"/>
    </row>
    <row r="246" spans="22:34">
      <c r="V246" s="4" t="s">
        <v>291</v>
      </c>
      <c r="W246" s="4" t="s">
        <v>886</v>
      </c>
      <c r="X246" s="2"/>
      <c r="Y246" s="432" t="s">
        <v>684</v>
      </c>
      <c r="Z246" s="433">
        <v>0.06</v>
      </c>
      <c r="AA246" s="474" t="s">
        <v>393</v>
      </c>
      <c r="AB246" s="435" t="s">
        <v>887</v>
      </c>
      <c r="AC246" s="456" t="str">
        <f t="shared" si="3"/>
        <v>大阪府岸和田市</v>
      </c>
      <c r="AD246" s="457">
        <v>10.42</v>
      </c>
      <c r="AE246" s="435">
        <v>10.33</v>
      </c>
      <c r="AF246" s="456">
        <v>10.27</v>
      </c>
      <c r="AG246" s="414"/>
      <c r="AH246" s="414"/>
    </row>
    <row r="247" spans="22:34">
      <c r="V247" s="4" t="s">
        <v>291</v>
      </c>
      <c r="W247" s="4" t="s">
        <v>888</v>
      </c>
      <c r="X247" s="2"/>
      <c r="Y247" s="432" t="s">
        <v>684</v>
      </c>
      <c r="Z247" s="433">
        <v>0.06</v>
      </c>
      <c r="AA247" s="474" t="s">
        <v>393</v>
      </c>
      <c r="AB247" s="435" t="s">
        <v>889</v>
      </c>
      <c r="AC247" s="456" t="str">
        <f t="shared" si="3"/>
        <v>大阪府泉大津市</v>
      </c>
      <c r="AD247" s="457">
        <v>10.42</v>
      </c>
      <c r="AE247" s="435">
        <v>10.33</v>
      </c>
      <c r="AF247" s="456">
        <v>10.27</v>
      </c>
      <c r="AG247" s="414"/>
      <c r="AH247" s="414"/>
    </row>
    <row r="248" spans="22:34">
      <c r="V248" s="4" t="s">
        <v>291</v>
      </c>
      <c r="W248" s="4" t="s">
        <v>890</v>
      </c>
      <c r="X248" s="2"/>
      <c r="Y248" s="432" t="s">
        <v>684</v>
      </c>
      <c r="Z248" s="433">
        <v>0.06</v>
      </c>
      <c r="AA248" s="474" t="s">
        <v>393</v>
      </c>
      <c r="AB248" s="435" t="s">
        <v>891</v>
      </c>
      <c r="AC248" s="456" t="str">
        <f t="shared" si="3"/>
        <v>大阪府貝塚市</v>
      </c>
      <c r="AD248" s="457">
        <v>10.42</v>
      </c>
      <c r="AE248" s="435">
        <v>10.33</v>
      </c>
      <c r="AF248" s="456">
        <v>10.27</v>
      </c>
      <c r="AG248" s="414"/>
      <c r="AH248" s="414"/>
    </row>
    <row r="249" spans="22:34">
      <c r="V249" s="4" t="s">
        <v>291</v>
      </c>
      <c r="W249" s="4" t="s">
        <v>892</v>
      </c>
      <c r="X249" s="2"/>
      <c r="Y249" s="432" t="s">
        <v>684</v>
      </c>
      <c r="Z249" s="433">
        <v>0.06</v>
      </c>
      <c r="AA249" s="474" t="s">
        <v>393</v>
      </c>
      <c r="AB249" s="435" t="s">
        <v>893</v>
      </c>
      <c r="AC249" s="456" t="str">
        <f t="shared" si="3"/>
        <v>大阪府泉佐野市</v>
      </c>
      <c r="AD249" s="457">
        <v>10.42</v>
      </c>
      <c r="AE249" s="435">
        <v>10.33</v>
      </c>
      <c r="AF249" s="456">
        <v>10.27</v>
      </c>
      <c r="AG249" s="414"/>
      <c r="AH249" s="414"/>
    </row>
    <row r="250" spans="22:34">
      <c r="V250" s="4" t="s">
        <v>291</v>
      </c>
      <c r="W250" s="4" t="s">
        <v>894</v>
      </c>
      <c r="X250" s="2"/>
      <c r="Y250" s="432" t="s">
        <v>684</v>
      </c>
      <c r="Z250" s="433">
        <v>0.06</v>
      </c>
      <c r="AA250" s="474" t="s">
        <v>393</v>
      </c>
      <c r="AB250" s="435" t="s">
        <v>895</v>
      </c>
      <c r="AC250" s="456" t="str">
        <f t="shared" si="3"/>
        <v>大阪府富田林市</v>
      </c>
      <c r="AD250" s="457">
        <v>10.42</v>
      </c>
      <c r="AE250" s="435">
        <v>10.33</v>
      </c>
      <c r="AF250" s="456">
        <v>10.27</v>
      </c>
      <c r="AG250" s="414"/>
      <c r="AH250" s="414"/>
    </row>
    <row r="251" spans="22:34">
      <c r="V251" s="4" t="s">
        <v>291</v>
      </c>
      <c r="W251" s="4" t="s">
        <v>896</v>
      </c>
      <c r="X251" s="2"/>
      <c r="Y251" s="432" t="s">
        <v>684</v>
      </c>
      <c r="Z251" s="433">
        <v>0.06</v>
      </c>
      <c r="AA251" s="474" t="s">
        <v>393</v>
      </c>
      <c r="AB251" s="435" t="s">
        <v>897</v>
      </c>
      <c r="AC251" s="456" t="str">
        <f t="shared" si="3"/>
        <v>大阪府河内長野市</v>
      </c>
      <c r="AD251" s="457">
        <v>10.42</v>
      </c>
      <c r="AE251" s="435">
        <v>10.33</v>
      </c>
      <c r="AF251" s="456">
        <v>10.27</v>
      </c>
      <c r="AG251" s="414"/>
      <c r="AH251" s="414"/>
    </row>
    <row r="252" spans="22:34">
      <c r="V252" s="4" t="s">
        <v>291</v>
      </c>
      <c r="W252" s="4" t="s">
        <v>898</v>
      </c>
      <c r="X252" s="2"/>
      <c r="Y252" s="432" t="s">
        <v>684</v>
      </c>
      <c r="Z252" s="433">
        <v>0.06</v>
      </c>
      <c r="AA252" s="474" t="s">
        <v>393</v>
      </c>
      <c r="AB252" s="435" t="s">
        <v>899</v>
      </c>
      <c r="AC252" s="456" t="str">
        <f t="shared" si="3"/>
        <v>大阪府和泉市</v>
      </c>
      <c r="AD252" s="457">
        <v>10.42</v>
      </c>
      <c r="AE252" s="435">
        <v>10.33</v>
      </c>
      <c r="AF252" s="456">
        <v>10.27</v>
      </c>
      <c r="AG252" s="414"/>
      <c r="AH252" s="414"/>
    </row>
    <row r="253" spans="22:34">
      <c r="V253" s="4" t="s">
        <v>291</v>
      </c>
      <c r="W253" s="4" t="s">
        <v>900</v>
      </c>
      <c r="X253" s="2"/>
      <c r="Y253" s="432" t="s">
        <v>684</v>
      </c>
      <c r="Z253" s="433">
        <v>0.06</v>
      </c>
      <c r="AA253" s="474" t="s">
        <v>393</v>
      </c>
      <c r="AB253" s="435" t="s">
        <v>901</v>
      </c>
      <c r="AC253" s="456" t="str">
        <f t="shared" si="3"/>
        <v>大阪府柏原市</v>
      </c>
      <c r="AD253" s="457">
        <v>10.42</v>
      </c>
      <c r="AE253" s="435">
        <v>10.33</v>
      </c>
      <c r="AF253" s="456">
        <v>10.27</v>
      </c>
      <c r="AG253" s="414"/>
      <c r="AH253" s="414"/>
    </row>
    <row r="254" spans="22:34">
      <c r="V254" s="4" t="s">
        <v>291</v>
      </c>
      <c r="W254" s="4" t="s">
        <v>902</v>
      </c>
      <c r="X254" s="2"/>
      <c r="Y254" s="432" t="s">
        <v>684</v>
      </c>
      <c r="Z254" s="433">
        <v>0.06</v>
      </c>
      <c r="AA254" s="474" t="s">
        <v>393</v>
      </c>
      <c r="AB254" s="435" t="s">
        <v>903</v>
      </c>
      <c r="AC254" s="456" t="str">
        <f t="shared" si="3"/>
        <v>大阪府羽曳野市</v>
      </c>
      <c r="AD254" s="457">
        <v>10.42</v>
      </c>
      <c r="AE254" s="435">
        <v>10.33</v>
      </c>
      <c r="AF254" s="456">
        <v>10.27</v>
      </c>
      <c r="AG254" s="414"/>
      <c r="AH254" s="414"/>
    </row>
    <row r="255" spans="22:34">
      <c r="V255" s="4" t="s">
        <v>291</v>
      </c>
      <c r="W255" s="4" t="s">
        <v>904</v>
      </c>
      <c r="X255" s="2"/>
      <c r="Y255" s="432" t="s">
        <v>684</v>
      </c>
      <c r="Z255" s="433">
        <v>0.06</v>
      </c>
      <c r="AA255" s="474" t="s">
        <v>393</v>
      </c>
      <c r="AB255" s="435" t="s">
        <v>905</v>
      </c>
      <c r="AC255" s="456" t="str">
        <f t="shared" si="3"/>
        <v>大阪府藤井寺市</v>
      </c>
      <c r="AD255" s="457">
        <v>10.42</v>
      </c>
      <c r="AE255" s="435">
        <v>10.33</v>
      </c>
      <c r="AF255" s="456">
        <v>10.27</v>
      </c>
      <c r="AG255" s="414"/>
      <c r="AH255" s="414"/>
    </row>
    <row r="256" spans="22:34">
      <c r="V256" s="4" t="s">
        <v>291</v>
      </c>
      <c r="W256" s="4" t="s">
        <v>906</v>
      </c>
      <c r="X256" s="2"/>
      <c r="Y256" s="432" t="s">
        <v>684</v>
      </c>
      <c r="Z256" s="433">
        <v>0.06</v>
      </c>
      <c r="AA256" s="474" t="s">
        <v>393</v>
      </c>
      <c r="AB256" s="435" t="s">
        <v>907</v>
      </c>
      <c r="AC256" s="456" t="str">
        <f t="shared" si="3"/>
        <v>大阪府泉南市</v>
      </c>
      <c r="AD256" s="457">
        <v>10.42</v>
      </c>
      <c r="AE256" s="435">
        <v>10.33</v>
      </c>
      <c r="AF256" s="456">
        <v>10.27</v>
      </c>
      <c r="AG256" s="414"/>
      <c r="AH256" s="414"/>
    </row>
    <row r="257" spans="22:34">
      <c r="V257" s="4" t="s">
        <v>291</v>
      </c>
      <c r="W257" s="4" t="s">
        <v>908</v>
      </c>
      <c r="X257" s="2"/>
      <c r="Y257" s="432" t="s">
        <v>684</v>
      </c>
      <c r="Z257" s="433">
        <v>0.06</v>
      </c>
      <c r="AA257" s="474" t="s">
        <v>393</v>
      </c>
      <c r="AB257" s="435" t="s">
        <v>909</v>
      </c>
      <c r="AC257" s="456" t="str">
        <f t="shared" si="3"/>
        <v>大阪府大阪狭山市</v>
      </c>
      <c r="AD257" s="457">
        <v>10.42</v>
      </c>
      <c r="AE257" s="435">
        <v>10.33</v>
      </c>
      <c r="AF257" s="456">
        <v>10.27</v>
      </c>
      <c r="AG257" s="414"/>
      <c r="AH257" s="414"/>
    </row>
    <row r="258" spans="22:34">
      <c r="V258" s="4" t="s">
        <v>291</v>
      </c>
      <c r="W258" s="4" t="s">
        <v>910</v>
      </c>
      <c r="X258" s="2"/>
      <c r="Y258" s="432" t="s">
        <v>684</v>
      </c>
      <c r="Z258" s="433">
        <v>0.06</v>
      </c>
      <c r="AA258" s="474" t="s">
        <v>393</v>
      </c>
      <c r="AB258" s="435" t="s">
        <v>911</v>
      </c>
      <c r="AC258" s="456" t="str">
        <f t="shared" si="3"/>
        <v>大阪府阪南市</v>
      </c>
      <c r="AD258" s="457">
        <v>10.42</v>
      </c>
      <c r="AE258" s="435">
        <v>10.33</v>
      </c>
      <c r="AF258" s="456">
        <v>10.27</v>
      </c>
      <c r="AG258" s="414"/>
      <c r="AH258" s="414"/>
    </row>
    <row r="259" spans="22:34">
      <c r="V259" s="4" t="s">
        <v>291</v>
      </c>
      <c r="W259" s="4" t="s">
        <v>912</v>
      </c>
      <c r="X259" s="2"/>
      <c r="Y259" s="432" t="s">
        <v>684</v>
      </c>
      <c r="Z259" s="433">
        <v>0.06</v>
      </c>
      <c r="AA259" s="474" t="s">
        <v>393</v>
      </c>
      <c r="AB259" s="435" t="s">
        <v>913</v>
      </c>
      <c r="AC259" s="456" t="str">
        <f t="shared" si="3"/>
        <v>大阪府島本町</v>
      </c>
      <c r="AD259" s="457">
        <v>10.42</v>
      </c>
      <c r="AE259" s="435">
        <v>10.33</v>
      </c>
      <c r="AF259" s="456">
        <v>10.27</v>
      </c>
      <c r="AG259" s="414"/>
      <c r="AH259" s="414"/>
    </row>
    <row r="260" spans="22:34">
      <c r="V260" s="4" t="s">
        <v>291</v>
      </c>
      <c r="W260" s="4" t="s">
        <v>914</v>
      </c>
      <c r="X260" s="2"/>
      <c r="Y260" s="432" t="s">
        <v>684</v>
      </c>
      <c r="Z260" s="433">
        <v>0.06</v>
      </c>
      <c r="AA260" s="474" t="s">
        <v>393</v>
      </c>
      <c r="AB260" s="435" t="s">
        <v>915</v>
      </c>
      <c r="AC260" s="456" t="str">
        <f t="shared" ref="AC260:AC323" si="4">AA260&amp;AB260</f>
        <v>大阪府豊能町</v>
      </c>
      <c r="AD260" s="457">
        <v>10.42</v>
      </c>
      <c r="AE260" s="435">
        <v>10.33</v>
      </c>
      <c r="AF260" s="456">
        <v>10.27</v>
      </c>
      <c r="AG260" s="414"/>
      <c r="AH260" s="414"/>
    </row>
    <row r="261" spans="22:34">
      <c r="V261" s="4" t="s">
        <v>295</v>
      </c>
      <c r="W261" s="4" t="s">
        <v>685</v>
      </c>
      <c r="X261" s="2"/>
      <c r="Y261" s="432" t="s">
        <v>684</v>
      </c>
      <c r="Z261" s="433">
        <v>0.06</v>
      </c>
      <c r="AA261" s="474" t="s">
        <v>393</v>
      </c>
      <c r="AB261" s="435" t="s">
        <v>916</v>
      </c>
      <c r="AC261" s="456" t="str">
        <f t="shared" si="4"/>
        <v>大阪府能勢町</v>
      </c>
      <c r="AD261" s="457">
        <v>10.42</v>
      </c>
      <c r="AE261" s="435">
        <v>10.33</v>
      </c>
      <c r="AF261" s="456">
        <v>10.27</v>
      </c>
      <c r="AG261" s="414"/>
      <c r="AH261" s="414"/>
    </row>
    <row r="262" spans="22:34">
      <c r="V262" s="4" t="s">
        <v>295</v>
      </c>
      <c r="W262" s="4" t="s">
        <v>917</v>
      </c>
      <c r="X262" s="2"/>
      <c r="Y262" s="432" t="s">
        <v>684</v>
      </c>
      <c r="Z262" s="433">
        <v>0.06</v>
      </c>
      <c r="AA262" s="474" t="s">
        <v>393</v>
      </c>
      <c r="AB262" s="435" t="s">
        <v>918</v>
      </c>
      <c r="AC262" s="456" t="str">
        <f t="shared" si="4"/>
        <v>大阪府忠岡町</v>
      </c>
      <c r="AD262" s="457">
        <v>10.42</v>
      </c>
      <c r="AE262" s="435">
        <v>10.33</v>
      </c>
      <c r="AF262" s="456">
        <v>10.27</v>
      </c>
      <c r="AG262" s="414"/>
      <c r="AH262" s="414"/>
    </row>
    <row r="263" spans="22:34">
      <c r="V263" s="4" t="s">
        <v>295</v>
      </c>
      <c r="W263" s="4" t="s">
        <v>919</v>
      </c>
      <c r="X263" s="2"/>
      <c r="Y263" s="432" t="s">
        <v>684</v>
      </c>
      <c r="Z263" s="433">
        <v>0.06</v>
      </c>
      <c r="AA263" s="474" t="s">
        <v>393</v>
      </c>
      <c r="AB263" s="435" t="s">
        <v>920</v>
      </c>
      <c r="AC263" s="456" t="str">
        <f t="shared" si="4"/>
        <v>大阪府熊取町</v>
      </c>
      <c r="AD263" s="457">
        <v>10.42</v>
      </c>
      <c r="AE263" s="435">
        <v>10.33</v>
      </c>
      <c r="AF263" s="456">
        <v>10.27</v>
      </c>
      <c r="AG263" s="414"/>
      <c r="AH263" s="414"/>
    </row>
    <row r="264" spans="22:34">
      <c r="V264" s="4" t="s">
        <v>295</v>
      </c>
      <c r="W264" s="4" t="s">
        <v>921</v>
      </c>
      <c r="X264" s="2"/>
      <c r="Y264" s="432" t="s">
        <v>684</v>
      </c>
      <c r="Z264" s="433">
        <v>0.06</v>
      </c>
      <c r="AA264" s="474" t="s">
        <v>393</v>
      </c>
      <c r="AB264" s="435" t="s">
        <v>922</v>
      </c>
      <c r="AC264" s="456" t="str">
        <f t="shared" si="4"/>
        <v>大阪府田尻町</v>
      </c>
      <c r="AD264" s="457">
        <v>10.42</v>
      </c>
      <c r="AE264" s="435">
        <v>10.33</v>
      </c>
      <c r="AF264" s="456">
        <v>10.27</v>
      </c>
      <c r="AG264" s="414"/>
      <c r="AH264" s="414"/>
    </row>
    <row r="265" spans="22:34">
      <c r="V265" s="4" t="s">
        <v>295</v>
      </c>
      <c r="W265" s="4" t="s">
        <v>923</v>
      </c>
      <c r="X265" s="2"/>
      <c r="Y265" s="432" t="s">
        <v>684</v>
      </c>
      <c r="Z265" s="433">
        <v>0.06</v>
      </c>
      <c r="AA265" s="474" t="s">
        <v>393</v>
      </c>
      <c r="AB265" s="435" t="s">
        <v>924</v>
      </c>
      <c r="AC265" s="456" t="str">
        <f t="shared" si="4"/>
        <v>大阪府岬町</v>
      </c>
      <c r="AD265" s="457">
        <v>10.42</v>
      </c>
      <c r="AE265" s="435">
        <v>10.33</v>
      </c>
      <c r="AF265" s="456">
        <v>10.27</v>
      </c>
      <c r="AG265" s="414"/>
      <c r="AH265" s="414"/>
    </row>
    <row r="266" spans="22:34">
      <c r="V266" s="4" t="s">
        <v>295</v>
      </c>
      <c r="W266" s="4" t="s">
        <v>925</v>
      </c>
      <c r="X266" s="2"/>
      <c r="Y266" s="432" t="s">
        <v>684</v>
      </c>
      <c r="Z266" s="433">
        <v>0.06</v>
      </c>
      <c r="AA266" s="474" t="s">
        <v>393</v>
      </c>
      <c r="AB266" s="435" t="s">
        <v>926</v>
      </c>
      <c r="AC266" s="456" t="str">
        <f t="shared" si="4"/>
        <v>大阪府太子町</v>
      </c>
      <c r="AD266" s="457">
        <v>10.42</v>
      </c>
      <c r="AE266" s="435">
        <v>10.33</v>
      </c>
      <c r="AF266" s="456">
        <v>10.27</v>
      </c>
      <c r="AG266" s="414"/>
      <c r="AH266" s="414"/>
    </row>
    <row r="267" spans="22:34">
      <c r="V267" s="4" t="s">
        <v>295</v>
      </c>
      <c r="W267" s="4" t="s">
        <v>927</v>
      </c>
      <c r="X267" s="2"/>
      <c r="Y267" s="432" t="s">
        <v>684</v>
      </c>
      <c r="Z267" s="433">
        <v>0.06</v>
      </c>
      <c r="AA267" s="474" t="s">
        <v>393</v>
      </c>
      <c r="AB267" s="435" t="s">
        <v>928</v>
      </c>
      <c r="AC267" s="456" t="str">
        <f t="shared" si="4"/>
        <v>大阪府河南町</v>
      </c>
      <c r="AD267" s="457">
        <v>10.42</v>
      </c>
      <c r="AE267" s="435">
        <v>10.33</v>
      </c>
      <c r="AF267" s="456">
        <v>10.27</v>
      </c>
      <c r="AG267" s="414"/>
      <c r="AH267" s="414"/>
    </row>
    <row r="268" spans="22:34">
      <c r="V268" s="4" t="s">
        <v>295</v>
      </c>
      <c r="W268" s="4" t="s">
        <v>929</v>
      </c>
      <c r="X268" s="2"/>
      <c r="Y268" s="432" t="s">
        <v>684</v>
      </c>
      <c r="Z268" s="433">
        <v>0.06</v>
      </c>
      <c r="AA268" s="474" t="s">
        <v>393</v>
      </c>
      <c r="AB268" s="435" t="s">
        <v>930</v>
      </c>
      <c r="AC268" s="456" t="str">
        <f t="shared" si="4"/>
        <v>大阪府千早赤阪村</v>
      </c>
      <c r="AD268" s="457">
        <v>10.42</v>
      </c>
      <c r="AE268" s="435">
        <v>10.33</v>
      </c>
      <c r="AF268" s="456">
        <v>10.27</v>
      </c>
      <c r="AG268" s="414"/>
      <c r="AH268" s="414"/>
    </row>
    <row r="269" spans="22:34">
      <c r="V269" s="4" t="s">
        <v>295</v>
      </c>
      <c r="W269" s="4" t="s">
        <v>931</v>
      </c>
      <c r="X269" s="2"/>
      <c r="Y269" s="432" t="s">
        <v>684</v>
      </c>
      <c r="Z269" s="433">
        <v>0.06</v>
      </c>
      <c r="AA269" s="474" t="s">
        <v>397</v>
      </c>
      <c r="AB269" s="435" t="s">
        <v>932</v>
      </c>
      <c r="AC269" s="456" t="str">
        <f t="shared" si="4"/>
        <v>兵庫県明石市</v>
      </c>
      <c r="AD269" s="457">
        <v>10.42</v>
      </c>
      <c r="AE269" s="435">
        <v>10.33</v>
      </c>
      <c r="AF269" s="456">
        <v>10.27</v>
      </c>
      <c r="AG269" s="414"/>
      <c r="AH269" s="414"/>
    </row>
    <row r="270" spans="22:34">
      <c r="V270" s="4" t="s">
        <v>295</v>
      </c>
      <c r="W270" s="4" t="s">
        <v>933</v>
      </c>
      <c r="X270" s="2"/>
      <c r="Y270" s="432" t="s">
        <v>684</v>
      </c>
      <c r="Z270" s="433">
        <v>0.06</v>
      </c>
      <c r="AA270" s="474" t="s">
        <v>397</v>
      </c>
      <c r="AB270" s="435" t="s">
        <v>934</v>
      </c>
      <c r="AC270" s="456" t="str">
        <f t="shared" si="4"/>
        <v>兵庫県猪名川町</v>
      </c>
      <c r="AD270" s="457">
        <v>10.42</v>
      </c>
      <c r="AE270" s="435">
        <v>10.33</v>
      </c>
      <c r="AF270" s="456">
        <v>10.27</v>
      </c>
      <c r="AG270" s="414"/>
      <c r="AH270" s="414"/>
    </row>
    <row r="271" spans="22:34">
      <c r="V271" s="4" t="s">
        <v>295</v>
      </c>
      <c r="W271" s="4" t="s">
        <v>935</v>
      </c>
      <c r="X271" s="2"/>
      <c r="Y271" s="432" t="s">
        <v>684</v>
      </c>
      <c r="Z271" s="433">
        <v>0.06</v>
      </c>
      <c r="AA271" s="474" t="s">
        <v>402</v>
      </c>
      <c r="AB271" s="435" t="s">
        <v>936</v>
      </c>
      <c r="AC271" s="456" t="str">
        <f t="shared" si="4"/>
        <v>奈良県奈良市</v>
      </c>
      <c r="AD271" s="457">
        <v>10.42</v>
      </c>
      <c r="AE271" s="435">
        <v>10.33</v>
      </c>
      <c r="AF271" s="456">
        <v>10.27</v>
      </c>
      <c r="AG271" s="414"/>
      <c r="AH271" s="414"/>
    </row>
    <row r="272" spans="22:34">
      <c r="V272" s="4" t="s">
        <v>295</v>
      </c>
      <c r="W272" s="4" t="s">
        <v>937</v>
      </c>
      <c r="X272" s="2"/>
      <c r="Y272" s="432" t="s">
        <v>684</v>
      </c>
      <c r="Z272" s="433">
        <v>0.06</v>
      </c>
      <c r="AA272" s="474" t="s">
        <v>402</v>
      </c>
      <c r="AB272" s="435" t="s">
        <v>938</v>
      </c>
      <c r="AC272" s="456" t="str">
        <f t="shared" si="4"/>
        <v>奈良県大和郡山市</v>
      </c>
      <c r="AD272" s="457">
        <v>10.42</v>
      </c>
      <c r="AE272" s="435">
        <v>10.33</v>
      </c>
      <c r="AF272" s="456">
        <v>10.27</v>
      </c>
      <c r="AG272" s="414"/>
      <c r="AH272" s="414"/>
    </row>
    <row r="273" spans="22:34">
      <c r="V273" s="4" t="s">
        <v>295</v>
      </c>
      <c r="W273" s="4" t="s">
        <v>939</v>
      </c>
      <c r="X273" s="2"/>
      <c r="Y273" s="432" t="s">
        <v>684</v>
      </c>
      <c r="Z273" s="433">
        <v>0.06</v>
      </c>
      <c r="AA273" s="474" t="s">
        <v>402</v>
      </c>
      <c r="AB273" s="435" t="s">
        <v>940</v>
      </c>
      <c r="AC273" s="456" t="str">
        <f t="shared" si="4"/>
        <v>奈良県生駒市</v>
      </c>
      <c r="AD273" s="457">
        <v>10.42</v>
      </c>
      <c r="AE273" s="435">
        <v>10.33</v>
      </c>
      <c r="AF273" s="456">
        <v>10.27</v>
      </c>
      <c r="AG273" s="414"/>
      <c r="AH273" s="414"/>
    </row>
    <row r="274" spans="22:34">
      <c r="V274" s="4" t="s">
        <v>295</v>
      </c>
      <c r="W274" s="4" t="s">
        <v>941</v>
      </c>
      <c r="X274" s="2"/>
      <c r="Y274" s="432" t="s">
        <v>684</v>
      </c>
      <c r="Z274" s="433">
        <v>0.06</v>
      </c>
      <c r="AA274" s="474" t="s">
        <v>406</v>
      </c>
      <c r="AB274" s="435" t="s">
        <v>942</v>
      </c>
      <c r="AC274" s="456" t="str">
        <f t="shared" si="4"/>
        <v>和歌山県和歌山市</v>
      </c>
      <c r="AD274" s="457">
        <v>10.42</v>
      </c>
      <c r="AE274" s="435">
        <v>10.33</v>
      </c>
      <c r="AF274" s="456">
        <v>10.27</v>
      </c>
      <c r="AG274" s="414"/>
      <c r="AH274" s="414"/>
    </row>
    <row r="275" spans="22:34">
      <c r="V275" s="4" t="s">
        <v>295</v>
      </c>
      <c r="W275" s="4" t="s">
        <v>943</v>
      </c>
      <c r="X275" s="2"/>
      <c r="Y275" s="432" t="s">
        <v>684</v>
      </c>
      <c r="Z275" s="433">
        <v>0.06</v>
      </c>
      <c r="AA275" s="474" t="s">
        <v>406</v>
      </c>
      <c r="AB275" s="435" t="s">
        <v>944</v>
      </c>
      <c r="AC275" s="456" t="str">
        <f t="shared" si="4"/>
        <v>和歌山県橋本市</v>
      </c>
      <c r="AD275" s="457">
        <v>10.42</v>
      </c>
      <c r="AE275" s="435">
        <v>10.33</v>
      </c>
      <c r="AF275" s="456">
        <v>10.27</v>
      </c>
      <c r="AG275" s="414"/>
      <c r="AH275" s="414"/>
    </row>
    <row r="276" spans="22:34">
      <c r="V276" s="4" t="s">
        <v>295</v>
      </c>
      <c r="W276" s="4" t="s">
        <v>945</v>
      </c>
      <c r="X276" s="2"/>
      <c r="Y276" s="432" t="s">
        <v>684</v>
      </c>
      <c r="Z276" s="433">
        <v>0.06</v>
      </c>
      <c r="AA276" s="474" t="s">
        <v>451</v>
      </c>
      <c r="AB276" s="435" t="s">
        <v>946</v>
      </c>
      <c r="AC276" s="456" t="str">
        <f t="shared" si="4"/>
        <v>福岡県大野城市</v>
      </c>
      <c r="AD276" s="457">
        <v>10.42</v>
      </c>
      <c r="AE276" s="435">
        <v>10.33</v>
      </c>
      <c r="AF276" s="456">
        <v>10.27</v>
      </c>
      <c r="AG276" s="414"/>
      <c r="AH276" s="414"/>
    </row>
    <row r="277" spans="22:34">
      <c r="V277" s="4" t="s">
        <v>295</v>
      </c>
      <c r="W277" s="4" t="s">
        <v>947</v>
      </c>
      <c r="X277" s="2"/>
      <c r="Y277" s="432" t="s">
        <v>684</v>
      </c>
      <c r="Z277" s="433">
        <v>0.06</v>
      </c>
      <c r="AA277" s="474" t="s">
        <v>451</v>
      </c>
      <c r="AB277" s="435" t="s">
        <v>948</v>
      </c>
      <c r="AC277" s="456" t="str">
        <f t="shared" si="4"/>
        <v>福岡県太宰府市</v>
      </c>
      <c r="AD277" s="457">
        <v>10.42</v>
      </c>
      <c r="AE277" s="435">
        <v>10.33</v>
      </c>
      <c r="AF277" s="456">
        <v>10.27</v>
      </c>
      <c r="AG277" s="414"/>
      <c r="AH277" s="414"/>
    </row>
    <row r="278" spans="22:34">
      <c r="V278" s="4" t="s">
        <v>295</v>
      </c>
      <c r="W278" s="4" t="s">
        <v>949</v>
      </c>
      <c r="X278" s="2"/>
      <c r="Y278" s="432" t="s">
        <v>684</v>
      </c>
      <c r="Z278" s="433">
        <v>0.06</v>
      </c>
      <c r="AA278" s="474" t="s">
        <v>451</v>
      </c>
      <c r="AB278" s="435" t="s">
        <v>950</v>
      </c>
      <c r="AC278" s="456" t="str">
        <f t="shared" si="4"/>
        <v>福岡県福津市</v>
      </c>
      <c r="AD278" s="457">
        <v>10.42</v>
      </c>
      <c r="AE278" s="435">
        <v>10.33</v>
      </c>
      <c r="AF278" s="456">
        <v>10.27</v>
      </c>
      <c r="AG278" s="414"/>
      <c r="AH278" s="414"/>
    </row>
    <row r="279" spans="22:34">
      <c r="V279" s="4" t="s">
        <v>295</v>
      </c>
      <c r="W279" s="4" t="s">
        <v>951</v>
      </c>
      <c r="X279" s="2"/>
      <c r="Y279" s="432" t="s">
        <v>684</v>
      </c>
      <c r="Z279" s="433">
        <v>0.06</v>
      </c>
      <c r="AA279" s="474" t="s">
        <v>451</v>
      </c>
      <c r="AB279" s="435" t="s">
        <v>952</v>
      </c>
      <c r="AC279" s="456" t="str">
        <f t="shared" si="4"/>
        <v>福岡県糸島市</v>
      </c>
      <c r="AD279" s="457">
        <v>10.42</v>
      </c>
      <c r="AE279" s="435">
        <v>10.33</v>
      </c>
      <c r="AF279" s="456">
        <v>10.27</v>
      </c>
      <c r="AG279" s="414"/>
      <c r="AH279" s="414"/>
    </row>
    <row r="280" spans="22:34">
      <c r="V280" s="4" t="s">
        <v>295</v>
      </c>
      <c r="W280" s="4" t="s">
        <v>953</v>
      </c>
      <c r="X280" s="2"/>
      <c r="Y280" s="432" t="s">
        <v>684</v>
      </c>
      <c r="Z280" s="433">
        <v>0.06</v>
      </c>
      <c r="AA280" s="474" t="s">
        <v>451</v>
      </c>
      <c r="AB280" s="435" t="s">
        <v>954</v>
      </c>
      <c r="AC280" s="456" t="str">
        <f t="shared" si="4"/>
        <v>福岡県那珂川市</v>
      </c>
      <c r="AD280" s="457">
        <v>10.42</v>
      </c>
      <c r="AE280" s="435">
        <v>10.33</v>
      </c>
      <c r="AF280" s="456">
        <v>10.27</v>
      </c>
      <c r="AG280" s="414"/>
      <c r="AH280" s="414"/>
    </row>
    <row r="281" spans="22:34" ht="14.25" thickBot="1">
      <c r="V281" s="4" t="s">
        <v>295</v>
      </c>
      <c r="W281" s="4" t="s">
        <v>955</v>
      </c>
      <c r="X281" s="2"/>
      <c r="Y281" s="458" t="s">
        <v>684</v>
      </c>
      <c r="Z281" s="459">
        <v>0.06</v>
      </c>
      <c r="AA281" s="478" t="s">
        <v>451</v>
      </c>
      <c r="AB281" s="461" t="s">
        <v>956</v>
      </c>
      <c r="AC281" s="462" t="str">
        <f t="shared" si="4"/>
        <v>福岡県粕屋町</v>
      </c>
      <c r="AD281" s="479">
        <v>10.42</v>
      </c>
      <c r="AE281" s="461">
        <v>10.33</v>
      </c>
      <c r="AF281" s="464">
        <v>10.27</v>
      </c>
      <c r="AG281" s="414"/>
      <c r="AH281" s="414"/>
    </row>
    <row r="282" spans="22:34">
      <c r="V282" s="4" t="s">
        <v>295</v>
      </c>
      <c r="W282" s="4" t="s">
        <v>957</v>
      </c>
      <c r="X282" s="2"/>
      <c r="Y282" s="424" t="s">
        <v>958</v>
      </c>
      <c r="Z282" s="425">
        <v>0.03</v>
      </c>
      <c r="AA282" s="473" t="s">
        <v>281</v>
      </c>
      <c r="AB282" s="427" t="s">
        <v>282</v>
      </c>
      <c r="AC282" s="428" t="str">
        <f t="shared" si="4"/>
        <v>北海道札幌市</v>
      </c>
      <c r="AD282" s="454">
        <v>10.210000000000001</v>
      </c>
      <c r="AE282" s="427">
        <v>10.17</v>
      </c>
      <c r="AF282" s="453">
        <v>10.14</v>
      </c>
      <c r="AG282" s="414"/>
      <c r="AH282" s="414"/>
    </row>
    <row r="283" spans="22:34">
      <c r="V283" s="4" t="s">
        <v>295</v>
      </c>
      <c r="W283" s="4" t="s">
        <v>959</v>
      </c>
      <c r="X283" s="2"/>
      <c r="Y283" s="432" t="s">
        <v>958</v>
      </c>
      <c r="Z283" s="433">
        <v>0.03</v>
      </c>
      <c r="AA283" s="480" t="s">
        <v>313</v>
      </c>
      <c r="AB283" s="435" t="s">
        <v>960</v>
      </c>
      <c r="AC283" s="436" t="str">
        <f t="shared" si="4"/>
        <v>茨城県結城市</v>
      </c>
      <c r="AD283" s="457">
        <v>10.210000000000001</v>
      </c>
      <c r="AE283" s="435">
        <v>10.17</v>
      </c>
      <c r="AF283" s="456">
        <v>10.14</v>
      </c>
      <c r="AG283" s="414"/>
      <c r="AH283" s="414"/>
    </row>
    <row r="284" spans="22:34">
      <c r="V284" s="4" t="s">
        <v>295</v>
      </c>
      <c r="W284" s="4" t="s">
        <v>961</v>
      </c>
      <c r="X284" s="2"/>
      <c r="Y284" s="432" t="s">
        <v>958</v>
      </c>
      <c r="Z284" s="433">
        <v>0.03</v>
      </c>
      <c r="AA284" s="480" t="s">
        <v>313</v>
      </c>
      <c r="AB284" s="435" t="s">
        <v>962</v>
      </c>
      <c r="AC284" s="436" t="str">
        <f t="shared" si="4"/>
        <v>茨城県下妻市</v>
      </c>
      <c r="AD284" s="457">
        <v>10.210000000000001</v>
      </c>
      <c r="AE284" s="435">
        <v>10.17</v>
      </c>
      <c r="AF284" s="456">
        <v>10.14</v>
      </c>
      <c r="AG284" s="414"/>
      <c r="AH284" s="414"/>
    </row>
    <row r="285" spans="22:34">
      <c r="V285" s="4" t="s">
        <v>295</v>
      </c>
      <c r="W285" s="4" t="s">
        <v>963</v>
      </c>
      <c r="X285" s="2"/>
      <c r="Y285" s="432" t="s">
        <v>958</v>
      </c>
      <c r="Z285" s="433">
        <v>0.03</v>
      </c>
      <c r="AA285" s="480" t="s">
        <v>313</v>
      </c>
      <c r="AB285" s="435" t="s">
        <v>964</v>
      </c>
      <c r="AC285" s="436" t="str">
        <f t="shared" si="4"/>
        <v>茨城県常総市</v>
      </c>
      <c r="AD285" s="457">
        <v>10.210000000000001</v>
      </c>
      <c r="AE285" s="435">
        <v>10.17</v>
      </c>
      <c r="AF285" s="456">
        <v>10.14</v>
      </c>
      <c r="AG285" s="414"/>
      <c r="AH285" s="414"/>
    </row>
    <row r="286" spans="22:34">
      <c r="V286" s="4" t="s">
        <v>295</v>
      </c>
      <c r="W286" s="4" t="s">
        <v>965</v>
      </c>
      <c r="X286" s="2"/>
      <c r="Y286" s="432" t="s">
        <v>958</v>
      </c>
      <c r="Z286" s="433">
        <v>0.03</v>
      </c>
      <c r="AA286" s="480" t="s">
        <v>313</v>
      </c>
      <c r="AB286" s="435" t="s">
        <v>966</v>
      </c>
      <c r="AC286" s="436" t="str">
        <f t="shared" si="4"/>
        <v>茨城県笠間市</v>
      </c>
      <c r="AD286" s="457">
        <v>10.210000000000001</v>
      </c>
      <c r="AE286" s="435">
        <v>10.17</v>
      </c>
      <c r="AF286" s="456">
        <v>10.14</v>
      </c>
      <c r="AG286" s="414"/>
      <c r="AH286" s="414"/>
    </row>
    <row r="287" spans="22:34">
      <c r="V287" s="4" t="s">
        <v>295</v>
      </c>
      <c r="W287" s="4" t="s">
        <v>967</v>
      </c>
      <c r="X287" s="2"/>
      <c r="Y287" s="432" t="s">
        <v>958</v>
      </c>
      <c r="Z287" s="433">
        <v>0.03</v>
      </c>
      <c r="AA287" s="480" t="s">
        <v>313</v>
      </c>
      <c r="AB287" s="435" t="s">
        <v>968</v>
      </c>
      <c r="AC287" s="436" t="str">
        <f t="shared" si="4"/>
        <v>茨城県ひたちなか市</v>
      </c>
      <c r="AD287" s="457">
        <v>10.210000000000001</v>
      </c>
      <c r="AE287" s="435">
        <v>10.17</v>
      </c>
      <c r="AF287" s="456">
        <v>10.14</v>
      </c>
      <c r="AG287" s="414"/>
      <c r="AH287" s="414"/>
    </row>
    <row r="288" spans="22:34">
      <c r="V288" s="4" t="s">
        <v>295</v>
      </c>
      <c r="W288" s="4" t="s">
        <v>969</v>
      </c>
      <c r="X288" s="2"/>
      <c r="Y288" s="432" t="s">
        <v>958</v>
      </c>
      <c r="Z288" s="433">
        <v>0.03</v>
      </c>
      <c r="AA288" s="480" t="s">
        <v>313</v>
      </c>
      <c r="AB288" s="435" t="s">
        <v>970</v>
      </c>
      <c r="AC288" s="436" t="str">
        <f t="shared" si="4"/>
        <v>茨城県那珂市</v>
      </c>
      <c r="AD288" s="457">
        <v>10.210000000000001</v>
      </c>
      <c r="AE288" s="435">
        <v>10.17</v>
      </c>
      <c r="AF288" s="456">
        <v>10.14</v>
      </c>
      <c r="AG288" s="414"/>
      <c r="AH288" s="414"/>
    </row>
    <row r="289" spans="22:34">
      <c r="V289" s="4" t="s">
        <v>295</v>
      </c>
      <c r="W289" s="4" t="s">
        <v>971</v>
      </c>
      <c r="X289" s="2"/>
      <c r="Y289" s="432" t="s">
        <v>958</v>
      </c>
      <c r="Z289" s="433">
        <v>0.03</v>
      </c>
      <c r="AA289" s="480" t="s">
        <v>313</v>
      </c>
      <c r="AB289" s="435" t="s">
        <v>972</v>
      </c>
      <c r="AC289" s="436" t="str">
        <f t="shared" si="4"/>
        <v>茨城県筑西市</v>
      </c>
      <c r="AD289" s="457">
        <v>10.210000000000001</v>
      </c>
      <c r="AE289" s="435">
        <v>10.17</v>
      </c>
      <c r="AF289" s="456">
        <v>10.14</v>
      </c>
      <c r="AG289" s="414"/>
      <c r="AH289" s="414"/>
    </row>
    <row r="290" spans="22:34">
      <c r="V290" s="4" t="s">
        <v>295</v>
      </c>
      <c r="W290" s="4" t="s">
        <v>973</v>
      </c>
      <c r="X290" s="2"/>
      <c r="Y290" s="432" t="s">
        <v>958</v>
      </c>
      <c r="Z290" s="433">
        <v>0.03</v>
      </c>
      <c r="AA290" s="480" t="s">
        <v>313</v>
      </c>
      <c r="AB290" s="435" t="s">
        <v>974</v>
      </c>
      <c r="AC290" s="436" t="str">
        <f t="shared" si="4"/>
        <v>茨城県坂東市</v>
      </c>
      <c r="AD290" s="457">
        <v>10.210000000000001</v>
      </c>
      <c r="AE290" s="435">
        <v>10.17</v>
      </c>
      <c r="AF290" s="456">
        <v>10.14</v>
      </c>
      <c r="AG290" s="414"/>
      <c r="AH290" s="414"/>
    </row>
    <row r="291" spans="22:34">
      <c r="V291" s="4" t="s">
        <v>295</v>
      </c>
      <c r="W291" s="4" t="s">
        <v>975</v>
      </c>
      <c r="X291" s="2"/>
      <c r="Y291" s="432" t="s">
        <v>958</v>
      </c>
      <c r="Z291" s="433">
        <v>0.03</v>
      </c>
      <c r="AA291" s="480" t="s">
        <v>313</v>
      </c>
      <c r="AB291" s="435" t="s">
        <v>976</v>
      </c>
      <c r="AC291" s="436" t="str">
        <f t="shared" si="4"/>
        <v>茨城県稲敷市</v>
      </c>
      <c r="AD291" s="457">
        <v>10.210000000000001</v>
      </c>
      <c r="AE291" s="435">
        <v>10.17</v>
      </c>
      <c r="AF291" s="456">
        <v>10.14</v>
      </c>
      <c r="AG291" s="414"/>
      <c r="AH291" s="414"/>
    </row>
    <row r="292" spans="22:34">
      <c r="V292" s="4" t="s">
        <v>295</v>
      </c>
      <c r="W292" s="4" t="s">
        <v>977</v>
      </c>
      <c r="X292" s="2"/>
      <c r="Y292" s="432" t="s">
        <v>958</v>
      </c>
      <c r="Z292" s="433">
        <v>0.03</v>
      </c>
      <c r="AA292" s="480" t="s">
        <v>313</v>
      </c>
      <c r="AB292" s="435" t="s">
        <v>978</v>
      </c>
      <c r="AC292" s="436" t="str">
        <f t="shared" si="4"/>
        <v>茨城県つくばみらい市</v>
      </c>
      <c r="AD292" s="457">
        <v>10.210000000000001</v>
      </c>
      <c r="AE292" s="435">
        <v>10.17</v>
      </c>
      <c r="AF292" s="456">
        <v>10.14</v>
      </c>
      <c r="AG292" s="414"/>
      <c r="AH292" s="414"/>
    </row>
    <row r="293" spans="22:34">
      <c r="V293" s="4" t="s">
        <v>295</v>
      </c>
      <c r="W293" s="4" t="s">
        <v>979</v>
      </c>
      <c r="X293" s="2"/>
      <c r="Y293" s="432" t="s">
        <v>958</v>
      </c>
      <c r="Z293" s="433">
        <v>0.03</v>
      </c>
      <c r="AA293" s="480" t="s">
        <v>313</v>
      </c>
      <c r="AB293" s="435" t="s">
        <v>980</v>
      </c>
      <c r="AC293" s="436" t="str">
        <f t="shared" si="4"/>
        <v>茨城県大洗町</v>
      </c>
      <c r="AD293" s="457">
        <v>10.210000000000001</v>
      </c>
      <c r="AE293" s="435">
        <v>10.17</v>
      </c>
      <c r="AF293" s="456">
        <v>10.14</v>
      </c>
      <c r="AG293" s="414"/>
      <c r="AH293" s="414"/>
    </row>
    <row r="294" spans="22:34">
      <c r="V294" s="4" t="s">
        <v>295</v>
      </c>
      <c r="W294" s="4" t="s">
        <v>981</v>
      </c>
      <c r="X294" s="2"/>
      <c r="Y294" s="432" t="s">
        <v>958</v>
      </c>
      <c r="Z294" s="433">
        <v>0.03</v>
      </c>
      <c r="AA294" s="480" t="s">
        <v>313</v>
      </c>
      <c r="AB294" s="435" t="s">
        <v>982</v>
      </c>
      <c r="AC294" s="436" t="str">
        <f t="shared" si="4"/>
        <v>茨城県阿見町</v>
      </c>
      <c r="AD294" s="457">
        <v>10.210000000000001</v>
      </c>
      <c r="AE294" s="435">
        <v>10.17</v>
      </c>
      <c r="AF294" s="456">
        <v>10.14</v>
      </c>
      <c r="AG294" s="414"/>
      <c r="AH294" s="414"/>
    </row>
    <row r="295" spans="22:34">
      <c r="V295" s="4" t="s">
        <v>295</v>
      </c>
      <c r="W295" s="4" t="s">
        <v>983</v>
      </c>
      <c r="X295" s="2"/>
      <c r="Y295" s="432" t="s">
        <v>958</v>
      </c>
      <c r="Z295" s="433">
        <v>0.03</v>
      </c>
      <c r="AA295" s="480" t="s">
        <v>313</v>
      </c>
      <c r="AB295" s="435" t="s">
        <v>984</v>
      </c>
      <c r="AC295" s="436" t="str">
        <f t="shared" si="4"/>
        <v>茨城県河内町</v>
      </c>
      <c r="AD295" s="457">
        <v>10.210000000000001</v>
      </c>
      <c r="AE295" s="435">
        <v>10.17</v>
      </c>
      <c r="AF295" s="456">
        <v>10.14</v>
      </c>
      <c r="AG295" s="414"/>
      <c r="AH295" s="414"/>
    </row>
    <row r="296" spans="22:34">
      <c r="V296" s="4" t="s">
        <v>299</v>
      </c>
      <c r="W296" s="4" t="s">
        <v>985</v>
      </c>
      <c r="X296" s="2"/>
      <c r="Y296" s="432" t="s">
        <v>958</v>
      </c>
      <c r="Z296" s="433">
        <v>0.03</v>
      </c>
      <c r="AA296" s="480" t="s">
        <v>313</v>
      </c>
      <c r="AB296" s="435" t="s">
        <v>986</v>
      </c>
      <c r="AC296" s="436" t="str">
        <f t="shared" si="4"/>
        <v>茨城県八千代町</v>
      </c>
      <c r="AD296" s="457">
        <v>10.210000000000001</v>
      </c>
      <c r="AE296" s="435">
        <v>10.17</v>
      </c>
      <c r="AF296" s="456">
        <v>10.14</v>
      </c>
      <c r="AG296" s="414"/>
      <c r="AH296" s="414"/>
    </row>
    <row r="297" spans="22:34">
      <c r="V297" s="4" t="s">
        <v>299</v>
      </c>
      <c r="W297" s="4" t="s">
        <v>987</v>
      </c>
      <c r="X297" s="2"/>
      <c r="Y297" s="432" t="s">
        <v>958</v>
      </c>
      <c r="Z297" s="433">
        <v>0.03</v>
      </c>
      <c r="AA297" s="480" t="s">
        <v>313</v>
      </c>
      <c r="AB297" s="435" t="s">
        <v>988</v>
      </c>
      <c r="AC297" s="436" t="str">
        <f t="shared" si="4"/>
        <v>茨城県五霞町</v>
      </c>
      <c r="AD297" s="457">
        <v>10.210000000000001</v>
      </c>
      <c r="AE297" s="435">
        <v>10.17</v>
      </c>
      <c r="AF297" s="456">
        <v>10.14</v>
      </c>
      <c r="AG297" s="414"/>
      <c r="AH297" s="414"/>
    </row>
    <row r="298" spans="22:34">
      <c r="V298" s="4" t="s">
        <v>299</v>
      </c>
      <c r="W298" s="4" t="s">
        <v>989</v>
      </c>
      <c r="X298" s="2"/>
      <c r="Y298" s="432" t="s">
        <v>958</v>
      </c>
      <c r="Z298" s="433">
        <v>0.03</v>
      </c>
      <c r="AA298" s="480" t="s">
        <v>313</v>
      </c>
      <c r="AB298" s="435" t="s">
        <v>990</v>
      </c>
      <c r="AC298" s="436" t="str">
        <f t="shared" si="4"/>
        <v>茨城県境町</v>
      </c>
      <c r="AD298" s="457">
        <v>10.210000000000001</v>
      </c>
      <c r="AE298" s="435">
        <v>10.17</v>
      </c>
      <c r="AF298" s="456">
        <v>10.14</v>
      </c>
      <c r="AG298" s="414"/>
      <c r="AH298" s="414"/>
    </row>
    <row r="299" spans="22:34">
      <c r="V299" s="4" t="s">
        <v>299</v>
      </c>
      <c r="W299" s="4" t="s">
        <v>991</v>
      </c>
      <c r="X299" s="2"/>
      <c r="Y299" s="432" t="s">
        <v>958</v>
      </c>
      <c r="Z299" s="433">
        <v>0.03</v>
      </c>
      <c r="AA299" s="480" t="s">
        <v>317</v>
      </c>
      <c r="AB299" s="435" t="s">
        <v>992</v>
      </c>
      <c r="AC299" s="436" t="str">
        <f t="shared" si="4"/>
        <v>栃木県栃木市</v>
      </c>
      <c r="AD299" s="457">
        <v>10.210000000000001</v>
      </c>
      <c r="AE299" s="435">
        <v>10.17</v>
      </c>
      <c r="AF299" s="456">
        <v>10.14</v>
      </c>
      <c r="AG299" s="414"/>
      <c r="AH299" s="414"/>
    </row>
    <row r="300" spans="22:34">
      <c r="V300" s="4" t="s">
        <v>299</v>
      </c>
      <c r="W300" s="4" t="s">
        <v>993</v>
      </c>
      <c r="X300" s="2"/>
      <c r="Y300" s="432" t="s">
        <v>958</v>
      </c>
      <c r="Z300" s="433">
        <v>0.03</v>
      </c>
      <c r="AA300" s="480" t="s">
        <v>317</v>
      </c>
      <c r="AB300" s="435" t="s">
        <v>994</v>
      </c>
      <c r="AC300" s="436" t="str">
        <f t="shared" si="4"/>
        <v>栃木県鹿沼市</v>
      </c>
      <c r="AD300" s="457">
        <v>10.210000000000001</v>
      </c>
      <c r="AE300" s="435">
        <v>10.17</v>
      </c>
      <c r="AF300" s="456">
        <v>10.14</v>
      </c>
      <c r="AG300" s="414"/>
      <c r="AH300" s="414"/>
    </row>
    <row r="301" spans="22:34">
      <c r="V301" s="4" t="s">
        <v>299</v>
      </c>
      <c r="W301" s="4" t="s">
        <v>995</v>
      </c>
      <c r="X301" s="2"/>
      <c r="Y301" s="432" t="s">
        <v>958</v>
      </c>
      <c r="Z301" s="433">
        <v>0.03</v>
      </c>
      <c r="AA301" s="480" t="s">
        <v>317</v>
      </c>
      <c r="AB301" s="435" t="s">
        <v>996</v>
      </c>
      <c r="AC301" s="436" t="str">
        <f t="shared" si="4"/>
        <v>栃木県日光市</v>
      </c>
      <c r="AD301" s="457">
        <v>10.210000000000001</v>
      </c>
      <c r="AE301" s="435">
        <v>10.17</v>
      </c>
      <c r="AF301" s="456">
        <v>10.14</v>
      </c>
      <c r="AG301" s="414"/>
      <c r="AH301" s="414"/>
    </row>
    <row r="302" spans="22:34">
      <c r="V302" s="4" t="s">
        <v>299</v>
      </c>
      <c r="W302" s="4" t="s">
        <v>997</v>
      </c>
      <c r="X302" s="2"/>
      <c r="Y302" s="432" t="s">
        <v>958</v>
      </c>
      <c r="Z302" s="433">
        <v>0.03</v>
      </c>
      <c r="AA302" s="480" t="s">
        <v>317</v>
      </c>
      <c r="AB302" s="435" t="s">
        <v>998</v>
      </c>
      <c r="AC302" s="436" t="str">
        <f t="shared" si="4"/>
        <v>栃木県小山市</v>
      </c>
      <c r="AD302" s="457">
        <v>10.210000000000001</v>
      </c>
      <c r="AE302" s="435">
        <v>10.17</v>
      </c>
      <c r="AF302" s="456">
        <v>10.14</v>
      </c>
      <c r="AG302" s="414"/>
      <c r="AH302" s="414"/>
    </row>
    <row r="303" spans="22:34">
      <c r="V303" s="4" t="s">
        <v>299</v>
      </c>
      <c r="W303" s="4" t="s">
        <v>999</v>
      </c>
      <c r="X303" s="2"/>
      <c r="Y303" s="432" t="s">
        <v>958</v>
      </c>
      <c r="Z303" s="433">
        <v>0.03</v>
      </c>
      <c r="AA303" s="480" t="s">
        <v>317</v>
      </c>
      <c r="AB303" s="435" t="s">
        <v>1000</v>
      </c>
      <c r="AC303" s="436" t="str">
        <f t="shared" si="4"/>
        <v>栃木県真岡市</v>
      </c>
      <c r="AD303" s="457">
        <v>10.210000000000001</v>
      </c>
      <c r="AE303" s="435">
        <v>10.17</v>
      </c>
      <c r="AF303" s="456">
        <v>10.14</v>
      </c>
      <c r="AG303" s="414"/>
      <c r="AH303" s="414"/>
    </row>
    <row r="304" spans="22:34">
      <c r="V304" s="4" t="s">
        <v>299</v>
      </c>
      <c r="W304" s="4" t="s">
        <v>1001</v>
      </c>
      <c r="X304" s="2"/>
      <c r="Y304" s="432" t="s">
        <v>958</v>
      </c>
      <c r="Z304" s="433">
        <v>0.03</v>
      </c>
      <c r="AA304" s="480" t="s">
        <v>317</v>
      </c>
      <c r="AB304" s="435" t="s">
        <v>1002</v>
      </c>
      <c r="AC304" s="436" t="str">
        <f t="shared" si="4"/>
        <v>栃木県大田原市</v>
      </c>
      <c r="AD304" s="457">
        <v>10.210000000000001</v>
      </c>
      <c r="AE304" s="435">
        <v>10.17</v>
      </c>
      <c r="AF304" s="456">
        <v>10.14</v>
      </c>
      <c r="AG304" s="414"/>
      <c r="AH304" s="414"/>
    </row>
    <row r="305" spans="22:34">
      <c r="V305" s="4" t="s">
        <v>299</v>
      </c>
      <c r="W305" s="4" t="s">
        <v>1003</v>
      </c>
      <c r="X305" s="2"/>
      <c r="Y305" s="432" t="s">
        <v>958</v>
      </c>
      <c r="Z305" s="433">
        <v>0.03</v>
      </c>
      <c r="AA305" s="480" t="s">
        <v>317</v>
      </c>
      <c r="AB305" s="435" t="s">
        <v>1004</v>
      </c>
      <c r="AC305" s="436" t="str">
        <f t="shared" si="4"/>
        <v>栃木県さくら市</v>
      </c>
      <c r="AD305" s="457">
        <v>10.210000000000001</v>
      </c>
      <c r="AE305" s="435">
        <v>10.17</v>
      </c>
      <c r="AF305" s="456">
        <v>10.14</v>
      </c>
      <c r="AG305" s="414"/>
      <c r="AH305" s="414"/>
    </row>
    <row r="306" spans="22:34">
      <c r="V306" s="4" t="s">
        <v>299</v>
      </c>
      <c r="W306" s="4" t="s">
        <v>1005</v>
      </c>
      <c r="X306" s="2"/>
      <c r="Y306" s="432" t="s">
        <v>958</v>
      </c>
      <c r="Z306" s="433">
        <v>0.03</v>
      </c>
      <c r="AA306" s="480" t="s">
        <v>317</v>
      </c>
      <c r="AB306" s="435" t="s">
        <v>1006</v>
      </c>
      <c r="AC306" s="436" t="str">
        <f t="shared" si="4"/>
        <v>栃木県下野市</v>
      </c>
      <c r="AD306" s="457">
        <v>10.210000000000001</v>
      </c>
      <c r="AE306" s="435">
        <v>10.17</v>
      </c>
      <c r="AF306" s="456">
        <v>10.14</v>
      </c>
      <c r="AG306" s="414"/>
      <c r="AH306" s="414"/>
    </row>
    <row r="307" spans="22:34">
      <c r="V307" s="4" t="s">
        <v>299</v>
      </c>
      <c r="W307" s="4" t="s">
        <v>1007</v>
      </c>
      <c r="X307" s="2"/>
      <c r="Y307" s="432" t="s">
        <v>958</v>
      </c>
      <c r="Z307" s="433">
        <v>0.03</v>
      </c>
      <c r="AA307" s="480" t="s">
        <v>317</v>
      </c>
      <c r="AB307" s="435" t="s">
        <v>1008</v>
      </c>
      <c r="AC307" s="436" t="str">
        <f t="shared" si="4"/>
        <v>栃木県壬生町</v>
      </c>
      <c r="AD307" s="457">
        <v>10.210000000000001</v>
      </c>
      <c r="AE307" s="435">
        <v>10.17</v>
      </c>
      <c r="AF307" s="456">
        <v>10.14</v>
      </c>
      <c r="AG307" s="414"/>
      <c r="AH307" s="414"/>
    </row>
    <row r="308" spans="22:34">
      <c r="V308" s="4" t="s">
        <v>299</v>
      </c>
      <c r="W308" s="4" t="s">
        <v>1009</v>
      </c>
      <c r="X308" s="2"/>
      <c r="Y308" s="432" t="s">
        <v>958</v>
      </c>
      <c r="Z308" s="433">
        <v>0.03</v>
      </c>
      <c r="AA308" s="480" t="s">
        <v>321</v>
      </c>
      <c r="AB308" s="435" t="s">
        <v>1010</v>
      </c>
      <c r="AC308" s="436" t="str">
        <f t="shared" si="4"/>
        <v>群馬県前橋市</v>
      </c>
      <c r="AD308" s="457">
        <v>10.210000000000001</v>
      </c>
      <c r="AE308" s="435">
        <v>10.17</v>
      </c>
      <c r="AF308" s="456">
        <v>10.14</v>
      </c>
      <c r="AG308" s="414"/>
      <c r="AH308" s="414"/>
    </row>
    <row r="309" spans="22:34">
      <c r="V309" s="4" t="s">
        <v>299</v>
      </c>
      <c r="W309" s="4" t="s">
        <v>1011</v>
      </c>
      <c r="X309" s="2"/>
      <c r="Y309" s="432" t="s">
        <v>958</v>
      </c>
      <c r="Z309" s="433">
        <v>0.03</v>
      </c>
      <c r="AA309" s="480" t="s">
        <v>321</v>
      </c>
      <c r="AB309" s="435" t="s">
        <v>1012</v>
      </c>
      <c r="AC309" s="436" t="str">
        <f t="shared" si="4"/>
        <v>群馬県伊勢崎市</v>
      </c>
      <c r="AD309" s="457">
        <v>10.210000000000001</v>
      </c>
      <c r="AE309" s="435">
        <v>10.17</v>
      </c>
      <c r="AF309" s="456">
        <v>10.14</v>
      </c>
      <c r="AG309" s="414"/>
      <c r="AH309" s="414"/>
    </row>
    <row r="310" spans="22:34">
      <c r="V310" s="4" t="s">
        <v>299</v>
      </c>
      <c r="W310" s="4" t="s">
        <v>1013</v>
      </c>
      <c r="X310" s="2"/>
      <c r="Y310" s="432" t="s">
        <v>958</v>
      </c>
      <c r="Z310" s="433">
        <v>0.03</v>
      </c>
      <c r="AA310" s="480" t="s">
        <v>321</v>
      </c>
      <c r="AB310" s="435" t="s">
        <v>1014</v>
      </c>
      <c r="AC310" s="436" t="str">
        <f t="shared" si="4"/>
        <v>群馬県太田市</v>
      </c>
      <c r="AD310" s="457">
        <v>10.210000000000001</v>
      </c>
      <c r="AE310" s="435">
        <v>10.17</v>
      </c>
      <c r="AF310" s="456">
        <v>10.14</v>
      </c>
      <c r="AG310" s="414"/>
      <c r="AH310" s="414"/>
    </row>
    <row r="311" spans="22:34">
      <c r="V311" s="4" t="s">
        <v>299</v>
      </c>
      <c r="W311" s="4" t="s">
        <v>1015</v>
      </c>
      <c r="X311" s="2"/>
      <c r="Y311" s="432" t="s">
        <v>958</v>
      </c>
      <c r="Z311" s="433">
        <v>0.03</v>
      </c>
      <c r="AA311" s="480" t="s">
        <v>321</v>
      </c>
      <c r="AB311" s="435" t="s">
        <v>1016</v>
      </c>
      <c r="AC311" s="436" t="str">
        <f t="shared" si="4"/>
        <v>群馬県渋川市</v>
      </c>
      <c r="AD311" s="457">
        <v>10.210000000000001</v>
      </c>
      <c r="AE311" s="435">
        <v>10.17</v>
      </c>
      <c r="AF311" s="456">
        <v>10.14</v>
      </c>
      <c r="AG311" s="414"/>
      <c r="AH311" s="414"/>
    </row>
    <row r="312" spans="22:34">
      <c r="V312" s="4" t="s">
        <v>299</v>
      </c>
      <c r="W312" s="4" t="s">
        <v>1017</v>
      </c>
      <c r="X312" s="2"/>
      <c r="Y312" s="432" t="s">
        <v>958</v>
      </c>
      <c r="Z312" s="433">
        <v>0.03</v>
      </c>
      <c r="AA312" s="480" t="s">
        <v>321</v>
      </c>
      <c r="AB312" s="435" t="s">
        <v>1018</v>
      </c>
      <c r="AC312" s="436" t="str">
        <f t="shared" si="4"/>
        <v>群馬県榛東村</v>
      </c>
      <c r="AD312" s="457">
        <v>10.210000000000001</v>
      </c>
      <c r="AE312" s="435">
        <v>10.17</v>
      </c>
      <c r="AF312" s="456">
        <v>10.14</v>
      </c>
      <c r="AG312" s="414"/>
      <c r="AH312" s="414"/>
    </row>
    <row r="313" spans="22:34">
      <c r="V313" s="4" t="s">
        <v>299</v>
      </c>
      <c r="W313" s="4" t="s">
        <v>1019</v>
      </c>
      <c r="X313" s="2"/>
      <c r="Y313" s="432" t="s">
        <v>958</v>
      </c>
      <c r="Z313" s="433">
        <v>0.03</v>
      </c>
      <c r="AA313" s="480" t="s">
        <v>321</v>
      </c>
      <c r="AB313" s="435" t="s">
        <v>1020</v>
      </c>
      <c r="AC313" s="436" t="str">
        <f t="shared" si="4"/>
        <v>群馬県吉岡町</v>
      </c>
      <c r="AD313" s="457">
        <v>10.210000000000001</v>
      </c>
      <c r="AE313" s="435">
        <v>10.17</v>
      </c>
      <c r="AF313" s="456">
        <v>10.14</v>
      </c>
      <c r="AG313" s="414"/>
      <c r="AH313" s="414"/>
    </row>
    <row r="314" spans="22:34">
      <c r="V314" s="4" t="s">
        <v>299</v>
      </c>
      <c r="W314" s="4" t="s">
        <v>1021</v>
      </c>
      <c r="X314" s="2"/>
      <c r="Y314" s="432" t="s">
        <v>958</v>
      </c>
      <c r="Z314" s="433">
        <v>0.03</v>
      </c>
      <c r="AA314" s="480" t="s">
        <v>321</v>
      </c>
      <c r="AB314" s="435" t="s">
        <v>1022</v>
      </c>
      <c r="AC314" s="436" t="str">
        <f t="shared" si="4"/>
        <v>群馬県玉村町</v>
      </c>
      <c r="AD314" s="457">
        <v>10.210000000000001</v>
      </c>
      <c r="AE314" s="435">
        <v>10.17</v>
      </c>
      <c r="AF314" s="456">
        <v>10.14</v>
      </c>
      <c r="AG314" s="414"/>
      <c r="AH314" s="414"/>
    </row>
    <row r="315" spans="22:34">
      <c r="V315" s="4" t="s">
        <v>299</v>
      </c>
      <c r="W315" s="4" t="s">
        <v>1023</v>
      </c>
      <c r="X315" s="2"/>
      <c r="Y315" s="432" t="s">
        <v>958</v>
      </c>
      <c r="Z315" s="433">
        <v>0.03</v>
      </c>
      <c r="AA315" s="480" t="s">
        <v>326</v>
      </c>
      <c r="AB315" s="435" t="s">
        <v>1024</v>
      </c>
      <c r="AC315" s="436" t="str">
        <f t="shared" si="4"/>
        <v>埼玉県熊谷市</v>
      </c>
      <c r="AD315" s="457">
        <v>10.210000000000001</v>
      </c>
      <c r="AE315" s="435">
        <v>10.17</v>
      </c>
      <c r="AF315" s="456">
        <v>10.14</v>
      </c>
      <c r="AG315" s="414"/>
      <c r="AH315" s="414"/>
    </row>
    <row r="316" spans="22:34">
      <c r="V316" s="4" t="s">
        <v>299</v>
      </c>
      <c r="W316" s="4" t="s">
        <v>1025</v>
      </c>
      <c r="X316" s="2"/>
      <c r="Y316" s="432" t="s">
        <v>958</v>
      </c>
      <c r="Z316" s="433">
        <v>0.03</v>
      </c>
      <c r="AA316" s="480" t="s">
        <v>326</v>
      </c>
      <c r="AB316" s="435" t="s">
        <v>1026</v>
      </c>
      <c r="AC316" s="436" t="str">
        <f t="shared" si="4"/>
        <v>埼玉県深谷市</v>
      </c>
      <c r="AD316" s="457">
        <v>10.210000000000001</v>
      </c>
      <c r="AE316" s="435">
        <v>10.17</v>
      </c>
      <c r="AF316" s="456">
        <v>10.14</v>
      </c>
      <c r="AG316" s="414"/>
      <c r="AH316" s="414"/>
    </row>
    <row r="317" spans="22:34">
      <c r="V317" s="4" t="s">
        <v>299</v>
      </c>
      <c r="W317" s="4" t="s">
        <v>1027</v>
      </c>
      <c r="X317" s="2"/>
      <c r="Y317" s="432" t="s">
        <v>958</v>
      </c>
      <c r="Z317" s="433">
        <v>0.03</v>
      </c>
      <c r="AA317" s="480" t="s">
        <v>326</v>
      </c>
      <c r="AB317" s="435" t="s">
        <v>1028</v>
      </c>
      <c r="AC317" s="436" t="str">
        <f t="shared" si="4"/>
        <v>埼玉県日高市</v>
      </c>
      <c r="AD317" s="457">
        <v>10.210000000000001</v>
      </c>
      <c r="AE317" s="435">
        <v>10.17</v>
      </c>
      <c r="AF317" s="456">
        <v>10.14</v>
      </c>
      <c r="AG317" s="414"/>
      <c r="AH317" s="414"/>
    </row>
    <row r="318" spans="22:34">
      <c r="V318" s="4" t="s">
        <v>299</v>
      </c>
      <c r="W318" s="4" t="s">
        <v>1029</v>
      </c>
      <c r="X318" s="2"/>
      <c r="Y318" s="432" t="s">
        <v>958</v>
      </c>
      <c r="Z318" s="433">
        <v>0.03</v>
      </c>
      <c r="AA318" s="480" t="s">
        <v>326</v>
      </c>
      <c r="AB318" s="435" t="s">
        <v>1030</v>
      </c>
      <c r="AC318" s="436" t="str">
        <f t="shared" si="4"/>
        <v>埼玉県毛呂山町</v>
      </c>
      <c r="AD318" s="457">
        <v>10.210000000000001</v>
      </c>
      <c r="AE318" s="435">
        <v>10.17</v>
      </c>
      <c r="AF318" s="456">
        <v>10.14</v>
      </c>
      <c r="AG318" s="414"/>
      <c r="AH318" s="414"/>
    </row>
    <row r="319" spans="22:34">
      <c r="V319" s="4" t="s">
        <v>299</v>
      </c>
      <c r="W319" s="4" t="s">
        <v>1031</v>
      </c>
      <c r="X319" s="2"/>
      <c r="Y319" s="432" t="s">
        <v>958</v>
      </c>
      <c r="Z319" s="433">
        <v>0.03</v>
      </c>
      <c r="AA319" s="480" t="s">
        <v>326</v>
      </c>
      <c r="AB319" s="435" t="s">
        <v>1032</v>
      </c>
      <c r="AC319" s="436" t="str">
        <f t="shared" si="4"/>
        <v>埼玉県越生町</v>
      </c>
      <c r="AD319" s="457">
        <v>10.210000000000001</v>
      </c>
      <c r="AE319" s="435">
        <v>10.17</v>
      </c>
      <c r="AF319" s="456">
        <v>10.14</v>
      </c>
      <c r="AG319" s="414"/>
      <c r="AH319" s="414"/>
    </row>
    <row r="320" spans="22:34">
      <c r="V320" s="4" t="s">
        <v>299</v>
      </c>
      <c r="W320" s="4" t="s">
        <v>1033</v>
      </c>
      <c r="X320" s="2"/>
      <c r="Y320" s="432" t="s">
        <v>958</v>
      </c>
      <c r="Z320" s="433">
        <v>0.03</v>
      </c>
      <c r="AA320" s="480" t="s">
        <v>326</v>
      </c>
      <c r="AB320" s="435" t="s">
        <v>1034</v>
      </c>
      <c r="AC320" s="436" t="str">
        <f t="shared" si="4"/>
        <v>埼玉県滑川町</v>
      </c>
      <c r="AD320" s="457">
        <v>10.210000000000001</v>
      </c>
      <c r="AE320" s="435">
        <v>10.17</v>
      </c>
      <c r="AF320" s="456">
        <v>10.14</v>
      </c>
      <c r="AG320" s="414"/>
      <c r="AH320" s="414"/>
    </row>
    <row r="321" spans="22:34">
      <c r="V321" s="4" t="s">
        <v>304</v>
      </c>
      <c r="W321" s="4" t="s">
        <v>1035</v>
      </c>
      <c r="X321" s="2"/>
      <c r="Y321" s="432" t="s">
        <v>958</v>
      </c>
      <c r="Z321" s="433">
        <v>0.03</v>
      </c>
      <c r="AA321" s="480" t="s">
        <v>326</v>
      </c>
      <c r="AB321" s="435" t="s">
        <v>1036</v>
      </c>
      <c r="AC321" s="436" t="str">
        <f t="shared" si="4"/>
        <v>埼玉県川島町</v>
      </c>
      <c r="AD321" s="457">
        <v>10.210000000000001</v>
      </c>
      <c r="AE321" s="435">
        <v>10.17</v>
      </c>
      <c r="AF321" s="456">
        <v>10.14</v>
      </c>
      <c r="AG321" s="414"/>
      <c r="AH321" s="414"/>
    </row>
    <row r="322" spans="22:34">
      <c r="V322" s="4" t="s">
        <v>304</v>
      </c>
      <c r="W322" s="4" t="s">
        <v>1037</v>
      </c>
      <c r="X322" s="2"/>
      <c r="Y322" s="432" t="s">
        <v>958</v>
      </c>
      <c r="Z322" s="433">
        <v>0.03</v>
      </c>
      <c r="AA322" s="480" t="s">
        <v>326</v>
      </c>
      <c r="AB322" s="435" t="s">
        <v>1038</v>
      </c>
      <c r="AC322" s="436" t="str">
        <f t="shared" si="4"/>
        <v>埼玉県吉見町</v>
      </c>
      <c r="AD322" s="457">
        <v>10.210000000000001</v>
      </c>
      <c r="AE322" s="435">
        <v>10.17</v>
      </c>
      <c r="AF322" s="456">
        <v>10.14</v>
      </c>
      <c r="AG322" s="414"/>
      <c r="AH322" s="414"/>
    </row>
    <row r="323" spans="22:34">
      <c r="V323" s="4" t="s">
        <v>304</v>
      </c>
      <c r="W323" s="4" t="s">
        <v>1039</v>
      </c>
      <c r="X323" s="2"/>
      <c r="Y323" s="432" t="s">
        <v>958</v>
      </c>
      <c r="Z323" s="433">
        <v>0.03</v>
      </c>
      <c r="AA323" s="480" t="s">
        <v>326</v>
      </c>
      <c r="AB323" s="435" t="s">
        <v>1040</v>
      </c>
      <c r="AC323" s="436" t="str">
        <f t="shared" si="4"/>
        <v>埼玉県鳩山町</v>
      </c>
      <c r="AD323" s="457">
        <v>10.210000000000001</v>
      </c>
      <c r="AE323" s="435">
        <v>10.17</v>
      </c>
      <c r="AF323" s="456">
        <v>10.14</v>
      </c>
      <c r="AG323" s="414"/>
      <c r="AH323" s="414"/>
    </row>
    <row r="324" spans="22:34">
      <c r="V324" s="4" t="s">
        <v>304</v>
      </c>
      <c r="W324" s="4" t="s">
        <v>1041</v>
      </c>
      <c r="X324" s="2"/>
      <c r="Y324" s="432" t="s">
        <v>958</v>
      </c>
      <c r="Z324" s="433">
        <v>0.03</v>
      </c>
      <c r="AA324" s="480" t="s">
        <v>326</v>
      </c>
      <c r="AB324" s="435" t="s">
        <v>1042</v>
      </c>
      <c r="AC324" s="436" t="str">
        <f t="shared" ref="AC324:AC387" si="5">AA324&amp;AB324</f>
        <v>埼玉県寄居町</v>
      </c>
      <c r="AD324" s="457">
        <v>10.210000000000001</v>
      </c>
      <c r="AE324" s="435">
        <v>10.17</v>
      </c>
      <c r="AF324" s="456">
        <v>10.14</v>
      </c>
      <c r="AG324" s="414"/>
      <c r="AH324" s="414"/>
    </row>
    <row r="325" spans="22:34">
      <c r="V325" s="4" t="s">
        <v>304</v>
      </c>
      <c r="W325" s="4" t="s">
        <v>1043</v>
      </c>
      <c r="X325" s="2"/>
      <c r="Y325" s="432" t="s">
        <v>958</v>
      </c>
      <c r="Z325" s="433">
        <v>0.03</v>
      </c>
      <c r="AA325" s="480" t="s">
        <v>331</v>
      </c>
      <c r="AB325" s="435" t="s">
        <v>1044</v>
      </c>
      <c r="AC325" s="436" t="str">
        <f t="shared" si="5"/>
        <v>千葉県東金市</v>
      </c>
      <c r="AD325" s="457">
        <v>10.210000000000001</v>
      </c>
      <c r="AE325" s="435">
        <v>10.17</v>
      </c>
      <c r="AF325" s="456">
        <v>10.14</v>
      </c>
      <c r="AG325" s="414"/>
      <c r="AH325" s="414"/>
    </row>
    <row r="326" spans="22:34">
      <c r="V326" s="4" t="s">
        <v>304</v>
      </c>
      <c r="W326" s="4" t="s">
        <v>1045</v>
      </c>
      <c r="X326" s="2"/>
      <c r="Y326" s="432" t="s">
        <v>958</v>
      </c>
      <c r="Z326" s="433">
        <v>0.03</v>
      </c>
      <c r="AA326" s="480" t="s">
        <v>331</v>
      </c>
      <c r="AB326" s="435" t="s">
        <v>1046</v>
      </c>
      <c r="AC326" s="436" t="str">
        <f t="shared" si="5"/>
        <v>千葉県君津市</v>
      </c>
      <c r="AD326" s="457">
        <v>10.210000000000001</v>
      </c>
      <c r="AE326" s="435">
        <v>10.17</v>
      </c>
      <c r="AF326" s="456">
        <v>10.14</v>
      </c>
      <c r="AG326" s="414"/>
      <c r="AH326" s="414"/>
    </row>
    <row r="327" spans="22:34">
      <c r="V327" s="4" t="s">
        <v>304</v>
      </c>
      <c r="W327" s="4" t="s">
        <v>1047</v>
      </c>
      <c r="X327" s="2"/>
      <c r="Y327" s="432" t="s">
        <v>958</v>
      </c>
      <c r="Z327" s="433">
        <v>0.03</v>
      </c>
      <c r="AA327" s="480" t="s">
        <v>331</v>
      </c>
      <c r="AB327" s="435" t="s">
        <v>1048</v>
      </c>
      <c r="AC327" s="436" t="str">
        <f t="shared" si="5"/>
        <v>千葉県富津市</v>
      </c>
      <c r="AD327" s="457">
        <v>10.210000000000001</v>
      </c>
      <c r="AE327" s="435">
        <v>10.17</v>
      </c>
      <c r="AF327" s="456">
        <v>10.14</v>
      </c>
      <c r="AG327" s="414"/>
      <c r="AH327" s="414"/>
    </row>
    <row r="328" spans="22:34">
      <c r="V328" s="4" t="s">
        <v>304</v>
      </c>
      <c r="W328" s="4" t="s">
        <v>1049</v>
      </c>
      <c r="X328" s="2"/>
      <c r="Y328" s="432" t="s">
        <v>958</v>
      </c>
      <c r="Z328" s="433">
        <v>0.03</v>
      </c>
      <c r="AA328" s="480" t="s">
        <v>331</v>
      </c>
      <c r="AB328" s="435" t="s">
        <v>1050</v>
      </c>
      <c r="AC328" s="436" t="str">
        <f t="shared" si="5"/>
        <v>千葉県八街市</v>
      </c>
      <c r="AD328" s="457">
        <v>10.210000000000001</v>
      </c>
      <c r="AE328" s="435">
        <v>10.17</v>
      </c>
      <c r="AF328" s="456">
        <v>10.14</v>
      </c>
      <c r="AG328" s="414"/>
      <c r="AH328" s="414"/>
    </row>
    <row r="329" spans="22:34">
      <c r="V329" s="4" t="s">
        <v>304</v>
      </c>
      <c r="W329" s="4" t="s">
        <v>1051</v>
      </c>
      <c r="X329" s="2"/>
      <c r="Y329" s="432" t="s">
        <v>958</v>
      </c>
      <c r="Z329" s="433">
        <v>0.03</v>
      </c>
      <c r="AA329" s="480" t="s">
        <v>331</v>
      </c>
      <c r="AB329" s="435" t="s">
        <v>1052</v>
      </c>
      <c r="AC329" s="436" t="str">
        <f t="shared" si="5"/>
        <v>千葉県富里市</v>
      </c>
      <c r="AD329" s="457">
        <v>10.210000000000001</v>
      </c>
      <c r="AE329" s="435">
        <v>10.17</v>
      </c>
      <c r="AF329" s="456">
        <v>10.14</v>
      </c>
      <c r="AG329" s="414"/>
      <c r="AH329" s="414"/>
    </row>
    <row r="330" spans="22:34">
      <c r="V330" s="4" t="s">
        <v>304</v>
      </c>
      <c r="W330" s="4" t="s">
        <v>1053</v>
      </c>
      <c r="X330" s="2"/>
      <c r="Y330" s="432" t="s">
        <v>958</v>
      </c>
      <c r="Z330" s="433">
        <v>0.03</v>
      </c>
      <c r="AA330" s="480" t="s">
        <v>331</v>
      </c>
      <c r="AB330" s="435" t="s">
        <v>1054</v>
      </c>
      <c r="AC330" s="436" t="str">
        <f t="shared" si="5"/>
        <v>千葉県山武市</v>
      </c>
      <c r="AD330" s="457">
        <v>10.210000000000001</v>
      </c>
      <c r="AE330" s="435">
        <v>10.17</v>
      </c>
      <c r="AF330" s="456">
        <v>10.14</v>
      </c>
      <c r="AG330" s="414"/>
      <c r="AH330" s="414"/>
    </row>
    <row r="331" spans="22:34">
      <c r="V331" s="4" t="s">
        <v>304</v>
      </c>
      <c r="W331" s="4" t="s">
        <v>1055</v>
      </c>
      <c r="X331" s="2"/>
      <c r="Y331" s="432" t="s">
        <v>958</v>
      </c>
      <c r="Z331" s="433">
        <v>0.03</v>
      </c>
      <c r="AA331" s="480" t="s">
        <v>331</v>
      </c>
      <c r="AB331" s="435" t="s">
        <v>1056</v>
      </c>
      <c r="AC331" s="436" t="str">
        <f t="shared" si="5"/>
        <v>千葉県大網白里市</v>
      </c>
      <c r="AD331" s="457">
        <v>10.210000000000001</v>
      </c>
      <c r="AE331" s="435">
        <v>10.17</v>
      </c>
      <c r="AF331" s="456">
        <v>10.14</v>
      </c>
      <c r="AG331" s="414"/>
      <c r="AH331" s="414"/>
    </row>
    <row r="332" spans="22:34">
      <c r="V332" s="4" t="s">
        <v>304</v>
      </c>
      <c r="W332" s="4" t="s">
        <v>1057</v>
      </c>
      <c r="X332" s="2"/>
      <c r="Y332" s="432" t="s">
        <v>958</v>
      </c>
      <c r="Z332" s="433">
        <v>0.03</v>
      </c>
      <c r="AA332" s="480" t="s">
        <v>331</v>
      </c>
      <c r="AB332" s="435" t="s">
        <v>1058</v>
      </c>
      <c r="AC332" s="436" t="str">
        <f t="shared" si="5"/>
        <v>千葉県長柄町</v>
      </c>
      <c r="AD332" s="457">
        <v>10.210000000000001</v>
      </c>
      <c r="AE332" s="435">
        <v>10.17</v>
      </c>
      <c r="AF332" s="456">
        <v>10.14</v>
      </c>
      <c r="AG332" s="414"/>
      <c r="AH332" s="414"/>
    </row>
    <row r="333" spans="22:34">
      <c r="V333" s="4" t="s">
        <v>304</v>
      </c>
      <c r="W333" s="4" t="s">
        <v>1059</v>
      </c>
      <c r="X333" s="2"/>
      <c r="Y333" s="432" t="s">
        <v>958</v>
      </c>
      <c r="Z333" s="433">
        <v>0.03</v>
      </c>
      <c r="AA333" s="480" t="s">
        <v>331</v>
      </c>
      <c r="AB333" s="435" t="s">
        <v>1060</v>
      </c>
      <c r="AC333" s="436" t="str">
        <f t="shared" si="5"/>
        <v>千葉県長南町</v>
      </c>
      <c r="AD333" s="457">
        <v>10.210000000000001</v>
      </c>
      <c r="AE333" s="435">
        <v>10.17</v>
      </c>
      <c r="AF333" s="456">
        <v>10.14</v>
      </c>
      <c r="AG333" s="414"/>
      <c r="AH333" s="414"/>
    </row>
    <row r="334" spans="22:34">
      <c r="V334" s="4" t="s">
        <v>304</v>
      </c>
      <c r="W334" s="4" t="s">
        <v>1061</v>
      </c>
      <c r="X334" s="2"/>
      <c r="Y334" s="432" t="s">
        <v>958</v>
      </c>
      <c r="Z334" s="433">
        <v>0.03</v>
      </c>
      <c r="AA334" s="480" t="s">
        <v>338</v>
      </c>
      <c r="AB334" s="435" t="s">
        <v>1062</v>
      </c>
      <c r="AC334" s="436" t="str">
        <f t="shared" si="5"/>
        <v>神奈川県南足柄市</v>
      </c>
      <c r="AD334" s="457">
        <v>10.210000000000001</v>
      </c>
      <c r="AE334" s="435">
        <v>10.17</v>
      </c>
      <c r="AF334" s="456">
        <v>10.14</v>
      </c>
      <c r="AG334" s="414"/>
      <c r="AH334" s="414"/>
    </row>
    <row r="335" spans="22:34">
      <c r="V335" s="4" t="s">
        <v>304</v>
      </c>
      <c r="W335" s="4" t="s">
        <v>1063</v>
      </c>
      <c r="X335" s="2"/>
      <c r="Y335" s="432" t="s">
        <v>958</v>
      </c>
      <c r="Z335" s="433">
        <v>0.03</v>
      </c>
      <c r="AA335" s="480" t="s">
        <v>338</v>
      </c>
      <c r="AB335" s="435" t="s">
        <v>1064</v>
      </c>
      <c r="AC335" s="436" t="str">
        <f t="shared" si="5"/>
        <v>神奈川県山北町</v>
      </c>
      <c r="AD335" s="457">
        <v>10.210000000000001</v>
      </c>
      <c r="AE335" s="435">
        <v>10.17</v>
      </c>
      <c r="AF335" s="456">
        <v>10.14</v>
      </c>
      <c r="AG335" s="414"/>
      <c r="AH335" s="414"/>
    </row>
    <row r="336" spans="22:34">
      <c r="V336" s="4" t="s">
        <v>304</v>
      </c>
      <c r="W336" s="4" t="s">
        <v>1065</v>
      </c>
      <c r="X336" s="2"/>
      <c r="Y336" s="432" t="s">
        <v>958</v>
      </c>
      <c r="Z336" s="433">
        <v>0.03</v>
      </c>
      <c r="AA336" s="480" t="s">
        <v>338</v>
      </c>
      <c r="AB336" s="435" t="s">
        <v>1066</v>
      </c>
      <c r="AC336" s="436" t="str">
        <f t="shared" si="5"/>
        <v>神奈川県箱根町</v>
      </c>
      <c r="AD336" s="457">
        <v>10.210000000000001</v>
      </c>
      <c r="AE336" s="435">
        <v>10.17</v>
      </c>
      <c r="AF336" s="456">
        <v>10.14</v>
      </c>
      <c r="AG336" s="414"/>
      <c r="AH336" s="414"/>
    </row>
    <row r="337" spans="22:34">
      <c r="V337" s="4" t="s">
        <v>304</v>
      </c>
      <c r="W337" s="4" t="s">
        <v>1067</v>
      </c>
      <c r="X337" s="2"/>
      <c r="Y337" s="432" t="s">
        <v>958</v>
      </c>
      <c r="Z337" s="433">
        <v>0.03</v>
      </c>
      <c r="AA337" s="480" t="s">
        <v>342</v>
      </c>
      <c r="AB337" s="435" t="s">
        <v>1068</v>
      </c>
      <c r="AC337" s="436" t="str">
        <f t="shared" si="5"/>
        <v>新潟県新潟市</v>
      </c>
      <c r="AD337" s="457">
        <v>10.210000000000001</v>
      </c>
      <c r="AE337" s="435">
        <v>10.17</v>
      </c>
      <c r="AF337" s="456">
        <v>10.14</v>
      </c>
      <c r="AG337" s="414"/>
      <c r="AH337" s="414"/>
    </row>
    <row r="338" spans="22:34">
      <c r="V338" s="4" t="s">
        <v>304</v>
      </c>
      <c r="W338" s="4" t="s">
        <v>1069</v>
      </c>
      <c r="X338" s="2"/>
      <c r="Y338" s="432" t="s">
        <v>958</v>
      </c>
      <c r="Z338" s="433">
        <v>0.03</v>
      </c>
      <c r="AA338" s="480" t="s">
        <v>346</v>
      </c>
      <c r="AB338" s="435" t="s">
        <v>1070</v>
      </c>
      <c r="AC338" s="436" t="str">
        <f t="shared" si="5"/>
        <v>富山県富山市</v>
      </c>
      <c r="AD338" s="457">
        <v>10.210000000000001</v>
      </c>
      <c r="AE338" s="435">
        <v>10.17</v>
      </c>
      <c r="AF338" s="456">
        <v>10.14</v>
      </c>
      <c r="AG338" s="414"/>
      <c r="AH338" s="414"/>
    </row>
    <row r="339" spans="22:34">
      <c r="V339" s="4" t="s">
        <v>304</v>
      </c>
      <c r="W339" s="4" t="s">
        <v>1071</v>
      </c>
      <c r="X339" s="2"/>
      <c r="Y339" s="432" t="s">
        <v>958</v>
      </c>
      <c r="Z339" s="433">
        <v>0.03</v>
      </c>
      <c r="AA339" s="480" t="s">
        <v>350</v>
      </c>
      <c r="AB339" s="435" t="s">
        <v>1072</v>
      </c>
      <c r="AC339" s="436" t="str">
        <f t="shared" si="5"/>
        <v>石川県金沢市</v>
      </c>
      <c r="AD339" s="457">
        <v>10.210000000000001</v>
      </c>
      <c r="AE339" s="435">
        <v>10.17</v>
      </c>
      <c r="AF339" s="456">
        <v>10.14</v>
      </c>
      <c r="AG339" s="414"/>
      <c r="AH339" s="414"/>
    </row>
    <row r="340" spans="22:34">
      <c r="V340" s="4" t="s">
        <v>304</v>
      </c>
      <c r="W340" s="4" t="s">
        <v>1073</v>
      </c>
      <c r="X340" s="2"/>
      <c r="Y340" s="432" t="s">
        <v>958</v>
      </c>
      <c r="Z340" s="433">
        <v>0.03</v>
      </c>
      <c r="AA340" s="480" t="s">
        <v>350</v>
      </c>
      <c r="AB340" s="435" t="s">
        <v>1074</v>
      </c>
      <c r="AC340" s="436" t="str">
        <f t="shared" si="5"/>
        <v>石川県内灘町</v>
      </c>
      <c r="AD340" s="457">
        <v>10.210000000000001</v>
      </c>
      <c r="AE340" s="435">
        <v>10.17</v>
      </c>
      <c r="AF340" s="456">
        <v>10.14</v>
      </c>
      <c r="AG340" s="414"/>
      <c r="AH340" s="414"/>
    </row>
    <row r="341" spans="22:34">
      <c r="V341" s="4" t="s">
        <v>304</v>
      </c>
      <c r="W341" s="4" t="s">
        <v>1075</v>
      </c>
      <c r="X341" s="2"/>
      <c r="Y341" s="432" t="s">
        <v>958</v>
      </c>
      <c r="Z341" s="433">
        <v>0.03</v>
      </c>
      <c r="AA341" s="480" t="s">
        <v>354</v>
      </c>
      <c r="AB341" s="435" t="s">
        <v>1076</v>
      </c>
      <c r="AC341" s="436" t="str">
        <f t="shared" si="5"/>
        <v>福井県福井市</v>
      </c>
      <c r="AD341" s="457">
        <v>10.210000000000001</v>
      </c>
      <c r="AE341" s="435">
        <v>10.17</v>
      </c>
      <c r="AF341" s="456">
        <v>10.14</v>
      </c>
      <c r="AG341" s="414"/>
      <c r="AH341" s="414"/>
    </row>
    <row r="342" spans="22:34">
      <c r="V342" s="4" t="s">
        <v>304</v>
      </c>
      <c r="W342" s="4" t="s">
        <v>1077</v>
      </c>
      <c r="X342" s="2"/>
      <c r="Y342" s="432" t="s">
        <v>958</v>
      </c>
      <c r="Z342" s="433">
        <v>0.03</v>
      </c>
      <c r="AA342" s="480" t="s">
        <v>359</v>
      </c>
      <c r="AB342" s="435" t="s">
        <v>1078</v>
      </c>
      <c r="AC342" s="436" t="str">
        <f t="shared" si="5"/>
        <v>山梨県甲府市</v>
      </c>
      <c r="AD342" s="457">
        <v>10.210000000000001</v>
      </c>
      <c r="AE342" s="435">
        <v>10.17</v>
      </c>
      <c r="AF342" s="456">
        <v>10.14</v>
      </c>
      <c r="AG342" s="414"/>
      <c r="AH342" s="414"/>
    </row>
    <row r="343" spans="22:34">
      <c r="V343" s="4" t="s">
        <v>304</v>
      </c>
      <c r="W343" s="4" t="s">
        <v>1079</v>
      </c>
      <c r="X343" s="2"/>
      <c r="Y343" s="432" t="s">
        <v>958</v>
      </c>
      <c r="Z343" s="433">
        <v>0.03</v>
      </c>
      <c r="AA343" s="480" t="s">
        <v>359</v>
      </c>
      <c r="AB343" s="435" t="s">
        <v>1080</v>
      </c>
      <c r="AC343" s="436" t="str">
        <f t="shared" si="5"/>
        <v>山梨県南アルプス市</v>
      </c>
      <c r="AD343" s="457">
        <v>10.210000000000001</v>
      </c>
      <c r="AE343" s="435">
        <v>10.17</v>
      </c>
      <c r="AF343" s="456">
        <v>10.14</v>
      </c>
      <c r="AG343" s="414"/>
      <c r="AH343" s="414"/>
    </row>
    <row r="344" spans="22:34">
      <c r="V344" s="4" t="s">
        <v>304</v>
      </c>
      <c r="W344" s="4" t="s">
        <v>1081</v>
      </c>
      <c r="X344" s="2"/>
      <c r="Y344" s="432" t="s">
        <v>958</v>
      </c>
      <c r="Z344" s="433">
        <v>0.03</v>
      </c>
      <c r="AA344" s="480" t="s">
        <v>359</v>
      </c>
      <c r="AB344" s="435" t="s">
        <v>1082</v>
      </c>
      <c r="AC344" s="436" t="str">
        <f t="shared" si="5"/>
        <v>山梨県南部町</v>
      </c>
      <c r="AD344" s="457">
        <v>10.210000000000001</v>
      </c>
      <c r="AE344" s="435">
        <v>10.17</v>
      </c>
      <c r="AF344" s="456">
        <v>10.14</v>
      </c>
      <c r="AG344" s="414"/>
      <c r="AH344" s="414"/>
    </row>
    <row r="345" spans="22:34">
      <c r="V345" s="4" t="s">
        <v>304</v>
      </c>
      <c r="W345" s="4" t="s">
        <v>1083</v>
      </c>
      <c r="X345" s="2"/>
      <c r="Y345" s="432" t="s">
        <v>958</v>
      </c>
      <c r="Z345" s="433">
        <v>0.03</v>
      </c>
      <c r="AA345" s="480" t="s">
        <v>363</v>
      </c>
      <c r="AB345" s="435" t="s">
        <v>1084</v>
      </c>
      <c r="AC345" s="436" t="str">
        <f t="shared" si="5"/>
        <v>長野県長野市</v>
      </c>
      <c r="AD345" s="457">
        <v>10.210000000000001</v>
      </c>
      <c r="AE345" s="435">
        <v>10.17</v>
      </c>
      <c r="AF345" s="456">
        <v>10.14</v>
      </c>
      <c r="AG345" s="414"/>
      <c r="AH345" s="414"/>
    </row>
    <row r="346" spans="22:34">
      <c r="V346" s="4" t="s">
        <v>304</v>
      </c>
      <c r="W346" s="4" t="s">
        <v>1085</v>
      </c>
      <c r="X346" s="2"/>
      <c r="Y346" s="432" t="s">
        <v>958</v>
      </c>
      <c r="Z346" s="433">
        <v>0.03</v>
      </c>
      <c r="AA346" s="480" t="s">
        <v>363</v>
      </c>
      <c r="AB346" s="435" t="s">
        <v>1086</v>
      </c>
      <c r="AC346" s="436" t="str">
        <f t="shared" si="5"/>
        <v>長野県松本市</v>
      </c>
      <c r="AD346" s="457">
        <v>10.210000000000001</v>
      </c>
      <c r="AE346" s="435">
        <v>10.17</v>
      </c>
      <c r="AF346" s="456">
        <v>10.14</v>
      </c>
      <c r="AG346" s="414"/>
      <c r="AH346" s="414"/>
    </row>
    <row r="347" spans="22:34">
      <c r="V347" s="4" t="s">
        <v>304</v>
      </c>
      <c r="W347" s="4" t="s">
        <v>1087</v>
      </c>
      <c r="X347" s="2"/>
      <c r="Y347" s="432" t="s">
        <v>958</v>
      </c>
      <c r="Z347" s="433">
        <v>0.03</v>
      </c>
      <c r="AA347" s="480" t="s">
        <v>363</v>
      </c>
      <c r="AB347" s="435" t="s">
        <v>1088</v>
      </c>
      <c r="AC347" s="436" t="str">
        <f t="shared" si="5"/>
        <v>長野県塩尻市</v>
      </c>
      <c r="AD347" s="457">
        <v>10.210000000000001</v>
      </c>
      <c r="AE347" s="435">
        <v>10.17</v>
      </c>
      <c r="AF347" s="456">
        <v>10.14</v>
      </c>
      <c r="AG347" s="414"/>
      <c r="AH347" s="414"/>
    </row>
    <row r="348" spans="22:34">
      <c r="V348" s="4" t="s">
        <v>304</v>
      </c>
      <c r="W348" s="4" t="s">
        <v>1089</v>
      </c>
      <c r="X348" s="2"/>
      <c r="Y348" s="432" t="s">
        <v>958</v>
      </c>
      <c r="Z348" s="433">
        <v>0.03</v>
      </c>
      <c r="AA348" s="480" t="s">
        <v>368</v>
      </c>
      <c r="AB348" s="435" t="s">
        <v>1090</v>
      </c>
      <c r="AC348" s="436" t="str">
        <f t="shared" si="5"/>
        <v>岐阜県大垣市</v>
      </c>
      <c r="AD348" s="457">
        <v>10.210000000000001</v>
      </c>
      <c r="AE348" s="435">
        <v>10.17</v>
      </c>
      <c r="AF348" s="456">
        <v>10.14</v>
      </c>
      <c r="AG348" s="414"/>
      <c r="AH348" s="414"/>
    </row>
    <row r="349" spans="22:34">
      <c r="V349" s="4" t="s">
        <v>304</v>
      </c>
      <c r="W349" s="4" t="s">
        <v>1091</v>
      </c>
      <c r="X349" s="2"/>
      <c r="Y349" s="432" t="s">
        <v>958</v>
      </c>
      <c r="Z349" s="433">
        <v>0.03</v>
      </c>
      <c r="AA349" s="480" t="s">
        <v>368</v>
      </c>
      <c r="AB349" s="435" t="s">
        <v>1092</v>
      </c>
      <c r="AC349" s="436" t="str">
        <f t="shared" si="5"/>
        <v>岐阜県多治見市</v>
      </c>
      <c r="AD349" s="457">
        <v>10.210000000000001</v>
      </c>
      <c r="AE349" s="435">
        <v>10.17</v>
      </c>
      <c r="AF349" s="456">
        <v>10.14</v>
      </c>
      <c r="AG349" s="414"/>
      <c r="AH349" s="414"/>
    </row>
    <row r="350" spans="22:34">
      <c r="V350" s="4" t="s">
        <v>304</v>
      </c>
      <c r="W350" s="4" t="s">
        <v>1093</v>
      </c>
      <c r="X350" s="2"/>
      <c r="Y350" s="432" t="s">
        <v>958</v>
      </c>
      <c r="Z350" s="433">
        <v>0.03</v>
      </c>
      <c r="AA350" s="480" t="s">
        <v>368</v>
      </c>
      <c r="AB350" s="435" t="s">
        <v>1094</v>
      </c>
      <c r="AC350" s="436" t="str">
        <f t="shared" si="5"/>
        <v>岐阜県美濃加茂市</v>
      </c>
      <c r="AD350" s="457">
        <v>10.210000000000001</v>
      </c>
      <c r="AE350" s="435">
        <v>10.17</v>
      </c>
      <c r="AF350" s="456">
        <v>10.14</v>
      </c>
      <c r="AG350" s="414"/>
      <c r="AH350" s="414"/>
    </row>
    <row r="351" spans="22:34">
      <c r="V351" s="4" t="s">
        <v>304</v>
      </c>
      <c r="W351" s="4" t="s">
        <v>1095</v>
      </c>
      <c r="X351" s="2"/>
      <c r="Y351" s="432" t="s">
        <v>958</v>
      </c>
      <c r="Z351" s="433">
        <v>0.03</v>
      </c>
      <c r="AA351" s="480" t="s">
        <v>368</v>
      </c>
      <c r="AB351" s="435" t="s">
        <v>1096</v>
      </c>
      <c r="AC351" s="436" t="str">
        <f t="shared" si="5"/>
        <v>岐阜県各務原市</v>
      </c>
      <c r="AD351" s="457">
        <v>10.210000000000001</v>
      </c>
      <c r="AE351" s="435">
        <v>10.17</v>
      </c>
      <c r="AF351" s="456">
        <v>10.14</v>
      </c>
      <c r="AG351" s="414"/>
      <c r="AH351" s="414"/>
    </row>
    <row r="352" spans="22:34">
      <c r="V352" s="4" t="s">
        <v>304</v>
      </c>
      <c r="W352" s="4" t="s">
        <v>1097</v>
      </c>
      <c r="X352" s="2"/>
      <c r="Y352" s="432" t="s">
        <v>958</v>
      </c>
      <c r="Z352" s="433">
        <v>0.03</v>
      </c>
      <c r="AA352" s="480" t="s">
        <v>368</v>
      </c>
      <c r="AB352" s="435" t="s">
        <v>1098</v>
      </c>
      <c r="AC352" s="436" t="str">
        <f t="shared" si="5"/>
        <v>岐阜県可児市</v>
      </c>
      <c r="AD352" s="457">
        <v>10.210000000000001</v>
      </c>
      <c r="AE352" s="435">
        <v>10.17</v>
      </c>
      <c r="AF352" s="456">
        <v>10.14</v>
      </c>
      <c r="AG352" s="414"/>
      <c r="AH352" s="414"/>
    </row>
    <row r="353" spans="22:34">
      <c r="V353" s="4" t="s">
        <v>304</v>
      </c>
      <c r="W353" s="4" t="s">
        <v>1099</v>
      </c>
      <c r="X353" s="2"/>
      <c r="Y353" s="432" t="s">
        <v>958</v>
      </c>
      <c r="Z353" s="433">
        <v>0.03</v>
      </c>
      <c r="AA353" s="480" t="s">
        <v>372</v>
      </c>
      <c r="AB353" s="435" t="s">
        <v>1100</v>
      </c>
      <c r="AC353" s="436" t="str">
        <f t="shared" si="5"/>
        <v>静岡県浜松市</v>
      </c>
      <c r="AD353" s="457">
        <v>10.210000000000001</v>
      </c>
      <c r="AE353" s="435">
        <v>10.17</v>
      </c>
      <c r="AF353" s="456">
        <v>10.14</v>
      </c>
      <c r="AG353" s="414"/>
      <c r="AH353" s="414"/>
    </row>
    <row r="354" spans="22:34">
      <c r="V354" s="4" t="s">
        <v>304</v>
      </c>
      <c r="W354" s="4" t="s">
        <v>1101</v>
      </c>
      <c r="X354" s="2"/>
      <c r="Y354" s="432" t="s">
        <v>958</v>
      </c>
      <c r="Z354" s="433">
        <v>0.03</v>
      </c>
      <c r="AA354" s="480" t="s">
        <v>372</v>
      </c>
      <c r="AB354" s="435" t="s">
        <v>1102</v>
      </c>
      <c r="AC354" s="436" t="str">
        <f t="shared" si="5"/>
        <v>静岡県沼津市</v>
      </c>
      <c r="AD354" s="457">
        <v>10.210000000000001</v>
      </c>
      <c r="AE354" s="435">
        <v>10.17</v>
      </c>
      <c r="AF354" s="456">
        <v>10.14</v>
      </c>
      <c r="AG354" s="414"/>
      <c r="AH354" s="414"/>
    </row>
    <row r="355" spans="22:34">
      <c r="V355" s="4" t="s">
        <v>304</v>
      </c>
      <c r="W355" s="4" t="s">
        <v>1103</v>
      </c>
      <c r="X355" s="2"/>
      <c r="Y355" s="432" t="s">
        <v>958</v>
      </c>
      <c r="Z355" s="433">
        <v>0.03</v>
      </c>
      <c r="AA355" s="480" t="s">
        <v>372</v>
      </c>
      <c r="AB355" s="435" t="s">
        <v>1104</v>
      </c>
      <c r="AC355" s="436" t="str">
        <f t="shared" si="5"/>
        <v>静岡県三島市</v>
      </c>
      <c r="AD355" s="457">
        <v>10.210000000000001</v>
      </c>
      <c r="AE355" s="435">
        <v>10.17</v>
      </c>
      <c r="AF355" s="456">
        <v>10.14</v>
      </c>
      <c r="AG355" s="414"/>
      <c r="AH355" s="414"/>
    </row>
    <row r="356" spans="22:34">
      <c r="V356" s="4" t="s">
        <v>308</v>
      </c>
      <c r="W356" s="4" t="s">
        <v>1105</v>
      </c>
      <c r="X356" s="2"/>
      <c r="Y356" s="432" t="s">
        <v>958</v>
      </c>
      <c r="Z356" s="433">
        <v>0.03</v>
      </c>
      <c r="AA356" s="480" t="s">
        <v>372</v>
      </c>
      <c r="AB356" s="435" t="s">
        <v>1106</v>
      </c>
      <c r="AC356" s="436" t="str">
        <f t="shared" si="5"/>
        <v>静岡県富士宮市</v>
      </c>
      <c r="AD356" s="457">
        <v>10.210000000000001</v>
      </c>
      <c r="AE356" s="435">
        <v>10.17</v>
      </c>
      <c r="AF356" s="456">
        <v>10.14</v>
      </c>
      <c r="AG356" s="414"/>
      <c r="AH356" s="414"/>
    </row>
    <row r="357" spans="22:34">
      <c r="V357" s="4" t="s">
        <v>308</v>
      </c>
      <c r="W357" s="4" t="s">
        <v>1107</v>
      </c>
      <c r="X357" s="2"/>
      <c r="Y357" s="432" t="s">
        <v>958</v>
      </c>
      <c r="Z357" s="433">
        <v>0.03</v>
      </c>
      <c r="AA357" s="480" t="s">
        <v>372</v>
      </c>
      <c r="AB357" s="435" t="s">
        <v>1108</v>
      </c>
      <c r="AC357" s="436" t="str">
        <f t="shared" si="5"/>
        <v>静岡県島田市</v>
      </c>
      <c r="AD357" s="457">
        <v>10.210000000000001</v>
      </c>
      <c r="AE357" s="435">
        <v>10.17</v>
      </c>
      <c r="AF357" s="456">
        <v>10.14</v>
      </c>
      <c r="AG357" s="414"/>
      <c r="AH357" s="414"/>
    </row>
    <row r="358" spans="22:34">
      <c r="V358" s="4" t="s">
        <v>308</v>
      </c>
      <c r="W358" s="4" t="s">
        <v>1109</v>
      </c>
      <c r="X358" s="2"/>
      <c r="Y358" s="432" t="s">
        <v>958</v>
      </c>
      <c r="Z358" s="433">
        <v>0.03</v>
      </c>
      <c r="AA358" s="480" t="s">
        <v>372</v>
      </c>
      <c r="AB358" s="435" t="s">
        <v>1110</v>
      </c>
      <c r="AC358" s="436" t="str">
        <f t="shared" si="5"/>
        <v>静岡県富士市</v>
      </c>
      <c r="AD358" s="457">
        <v>10.210000000000001</v>
      </c>
      <c r="AE358" s="435">
        <v>10.17</v>
      </c>
      <c r="AF358" s="456">
        <v>10.14</v>
      </c>
      <c r="AG358" s="414"/>
      <c r="AH358" s="414"/>
    </row>
    <row r="359" spans="22:34">
      <c r="V359" s="4" t="s">
        <v>308</v>
      </c>
      <c r="W359" s="4" t="s">
        <v>1111</v>
      </c>
      <c r="X359" s="2"/>
      <c r="Y359" s="432" t="s">
        <v>958</v>
      </c>
      <c r="Z359" s="433">
        <v>0.03</v>
      </c>
      <c r="AA359" s="480" t="s">
        <v>372</v>
      </c>
      <c r="AB359" s="435" t="s">
        <v>1112</v>
      </c>
      <c r="AC359" s="436" t="str">
        <f t="shared" si="5"/>
        <v>静岡県磐田市</v>
      </c>
      <c r="AD359" s="457">
        <v>10.210000000000001</v>
      </c>
      <c r="AE359" s="435">
        <v>10.17</v>
      </c>
      <c r="AF359" s="456">
        <v>10.14</v>
      </c>
      <c r="AG359" s="414"/>
      <c r="AH359" s="414"/>
    </row>
    <row r="360" spans="22:34">
      <c r="V360" s="4" t="s">
        <v>308</v>
      </c>
      <c r="W360" s="4" t="s">
        <v>1113</v>
      </c>
      <c r="X360" s="2"/>
      <c r="Y360" s="432" t="s">
        <v>958</v>
      </c>
      <c r="Z360" s="433">
        <v>0.03</v>
      </c>
      <c r="AA360" s="480" t="s">
        <v>372</v>
      </c>
      <c r="AB360" s="435" t="s">
        <v>1114</v>
      </c>
      <c r="AC360" s="436" t="str">
        <f t="shared" si="5"/>
        <v>静岡県焼津市</v>
      </c>
      <c r="AD360" s="457">
        <v>10.210000000000001</v>
      </c>
      <c r="AE360" s="435">
        <v>10.17</v>
      </c>
      <c r="AF360" s="456">
        <v>10.14</v>
      </c>
      <c r="AG360" s="414"/>
      <c r="AH360" s="414"/>
    </row>
    <row r="361" spans="22:34">
      <c r="V361" s="4" t="s">
        <v>308</v>
      </c>
      <c r="W361" s="4" t="s">
        <v>1115</v>
      </c>
      <c r="X361" s="2"/>
      <c r="Y361" s="432" t="s">
        <v>958</v>
      </c>
      <c r="Z361" s="433">
        <v>0.03</v>
      </c>
      <c r="AA361" s="480" t="s">
        <v>372</v>
      </c>
      <c r="AB361" s="435" t="s">
        <v>1116</v>
      </c>
      <c r="AC361" s="436" t="str">
        <f t="shared" si="5"/>
        <v>静岡県掛川市</v>
      </c>
      <c r="AD361" s="457">
        <v>10.210000000000001</v>
      </c>
      <c r="AE361" s="435">
        <v>10.17</v>
      </c>
      <c r="AF361" s="456">
        <v>10.14</v>
      </c>
      <c r="AG361" s="414"/>
      <c r="AH361" s="414"/>
    </row>
    <row r="362" spans="22:34">
      <c r="V362" s="4" t="s">
        <v>308</v>
      </c>
      <c r="W362" s="4" t="s">
        <v>1117</v>
      </c>
      <c r="X362" s="2"/>
      <c r="Y362" s="432" t="s">
        <v>958</v>
      </c>
      <c r="Z362" s="433">
        <v>0.03</v>
      </c>
      <c r="AA362" s="480" t="s">
        <v>372</v>
      </c>
      <c r="AB362" s="435" t="s">
        <v>1118</v>
      </c>
      <c r="AC362" s="436" t="str">
        <f t="shared" si="5"/>
        <v>静岡県藤枝市</v>
      </c>
      <c r="AD362" s="457">
        <v>10.210000000000001</v>
      </c>
      <c r="AE362" s="435">
        <v>10.17</v>
      </c>
      <c r="AF362" s="456">
        <v>10.14</v>
      </c>
      <c r="AG362" s="414"/>
      <c r="AH362" s="414"/>
    </row>
    <row r="363" spans="22:34">
      <c r="V363" s="4" t="s">
        <v>308</v>
      </c>
      <c r="W363" s="4" t="s">
        <v>1119</v>
      </c>
      <c r="X363" s="2"/>
      <c r="Y363" s="432" t="s">
        <v>958</v>
      </c>
      <c r="Z363" s="433">
        <v>0.03</v>
      </c>
      <c r="AA363" s="480" t="s">
        <v>372</v>
      </c>
      <c r="AB363" s="435" t="s">
        <v>1120</v>
      </c>
      <c r="AC363" s="436" t="str">
        <f t="shared" si="5"/>
        <v>静岡県御殿場市</v>
      </c>
      <c r="AD363" s="457">
        <v>10.210000000000001</v>
      </c>
      <c r="AE363" s="435">
        <v>10.17</v>
      </c>
      <c r="AF363" s="456">
        <v>10.14</v>
      </c>
      <c r="AG363" s="414"/>
      <c r="AH363" s="414"/>
    </row>
    <row r="364" spans="22:34">
      <c r="V364" s="4" t="s">
        <v>308</v>
      </c>
      <c r="W364" s="4" t="s">
        <v>1121</v>
      </c>
      <c r="X364" s="2"/>
      <c r="Y364" s="432" t="s">
        <v>958</v>
      </c>
      <c r="Z364" s="433">
        <v>0.03</v>
      </c>
      <c r="AA364" s="480" t="s">
        <v>372</v>
      </c>
      <c r="AB364" s="435" t="s">
        <v>1122</v>
      </c>
      <c r="AC364" s="436" t="str">
        <f t="shared" si="5"/>
        <v>静岡県袋井市</v>
      </c>
      <c r="AD364" s="457">
        <v>10.210000000000001</v>
      </c>
      <c r="AE364" s="435">
        <v>10.17</v>
      </c>
      <c r="AF364" s="456">
        <v>10.14</v>
      </c>
      <c r="AG364" s="414"/>
      <c r="AH364" s="414"/>
    </row>
    <row r="365" spans="22:34">
      <c r="V365" s="4" t="s">
        <v>308</v>
      </c>
      <c r="W365" s="4" t="s">
        <v>1123</v>
      </c>
      <c r="X365" s="2"/>
      <c r="Y365" s="432" t="s">
        <v>958</v>
      </c>
      <c r="Z365" s="433">
        <v>0.03</v>
      </c>
      <c r="AA365" s="480" t="s">
        <v>372</v>
      </c>
      <c r="AB365" s="435" t="s">
        <v>1124</v>
      </c>
      <c r="AC365" s="436" t="str">
        <f t="shared" si="5"/>
        <v>静岡県裾野市</v>
      </c>
      <c r="AD365" s="457">
        <v>10.210000000000001</v>
      </c>
      <c r="AE365" s="435">
        <v>10.17</v>
      </c>
      <c r="AF365" s="456">
        <v>10.14</v>
      </c>
      <c r="AG365" s="414"/>
      <c r="AH365" s="414"/>
    </row>
    <row r="366" spans="22:34">
      <c r="V366" s="4" t="s">
        <v>308</v>
      </c>
      <c r="W366" s="4" t="s">
        <v>1125</v>
      </c>
      <c r="X366" s="2"/>
      <c r="Y366" s="432" t="s">
        <v>958</v>
      </c>
      <c r="Z366" s="433">
        <v>0.03</v>
      </c>
      <c r="AA366" s="480" t="s">
        <v>372</v>
      </c>
      <c r="AB366" s="435" t="s">
        <v>1126</v>
      </c>
      <c r="AC366" s="436" t="str">
        <f t="shared" si="5"/>
        <v>静岡県函南町</v>
      </c>
      <c r="AD366" s="457">
        <v>10.210000000000001</v>
      </c>
      <c r="AE366" s="435">
        <v>10.17</v>
      </c>
      <c r="AF366" s="456">
        <v>10.14</v>
      </c>
      <c r="AG366" s="414"/>
      <c r="AH366" s="414"/>
    </row>
    <row r="367" spans="22:34">
      <c r="V367" s="4" t="s">
        <v>308</v>
      </c>
      <c r="W367" s="4" t="s">
        <v>418</v>
      </c>
      <c r="X367" s="2"/>
      <c r="Y367" s="432" t="s">
        <v>958</v>
      </c>
      <c r="Z367" s="433">
        <v>0.03</v>
      </c>
      <c r="AA367" s="480" t="s">
        <v>372</v>
      </c>
      <c r="AB367" s="435" t="s">
        <v>1127</v>
      </c>
      <c r="AC367" s="436" t="str">
        <f t="shared" si="5"/>
        <v>静岡県清水町</v>
      </c>
      <c r="AD367" s="457">
        <v>10.210000000000001</v>
      </c>
      <c r="AE367" s="435">
        <v>10.17</v>
      </c>
      <c r="AF367" s="456">
        <v>10.14</v>
      </c>
      <c r="AG367" s="414"/>
      <c r="AH367" s="414"/>
    </row>
    <row r="368" spans="22:34">
      <c r="V368" s="4" t="s">
        <v>308</v>
      </c>
      <c r="W368" s="4" t="s">
        <v>1128</v>
      </c>
      <c r="X368" s="2"/>
      <c r="Y368" s="432" t="s">
        <v>958</v>
      </c>
      <c r="Z368" s="433">
        <v>0.03</v>
      </c>
      <c r="AA368" s="480" t="s">
        <v>372</v>
      </c>
      <c r="AB368" s="435" t="s">
        <v>1129</v>
      </c>
      <c r="AC368" s="436" t="str">
        <f t="shared" si="5"/>
        <v>静岡県長泉町</v>
      </c>
      <c r="AD368" s="457">
        <v>10.210000000000001</v>
      </c>
      <c r="AE368" s="435">
        <v>10.17</v>
      </c>
      <c r="AF368" s="456">
        <v>10.14</v>
      </c>
      <c r="AG368" s="414"/>
      <c r="AH368" s="414"/>
    </row>
    <row r="369" spans="22:34">
      <c r="V369" s="4" t="s">
        <v>308</v>
      </c>
      <c r="W369" s="4" t="s">
        <v>1130</v>
      </c>
      <c r="X369" s="2"/>
      <c r="Y369" s="432" t="s">
        <v>958</v>
      </c>
      <c r="Z369" s="433">
        <v>0.03</v>
      </c>
      <c r="AA369" s="480" t="s">
        <v>372</v>
      </c>
      <c r="AB369" s="435" t="s">
        <v>1131</v>
      </c>
      <c r="AC369" s="436" t="str">
        <f t="shared" si="5"/>
        <v>静岡県小山町</v>
      </c>
      <c r="AD369" s="457">
        <v>10.210000000000001</v>
      </c>
      <c r="AE369" s="435">
        <v>10.17</v>
      </c>
      <c r="AF369" s="456">
        <v>10.14</v>
      </c>
      <c r="AG369" s="414"/>
      <c r="AH369" s="414"/>
    </row>
    <row r="370" spans="22:34">
      <c r="V370" s="4" t="s">
        <v>308</v>
      </c>
      <c r="W370" s="4" t="s">
        <v>1132</v>
      </c>
      <c r="X370" s="2"/>
      <c r="Y370" s="432" t="s">
        <v>958</v>
      </c>
      <c r="Z370" s="433">
        <v>0.03</v>
      </c>
      <c r="AA370" s="480" t="s">
        <v>372</v>
      </c>
      <c r="AB370" s="435" t="s">
        <v>1133</v>
      </c>
      <c r="AC370" s="436" t="str">
        <f t="shared" si="5"/>
        <v>静岡県川根本町</v>
      </c>
      <c r="AD370" s="457">
        <v>10.210000000000001</v>
      </c>
      <c r="AE370" s="435">
        <v>10.17</v>
      </c>
      <c r="AF370" s="456">
        <v>10.14</v>
      </c>
      <c r="AG370" s="414"/>
      <c r="AH370" s="414"/>
    </row>
    <row r="371" spans="22:34">
      <c r="V371" s="4" t="s">
        <v>308</v>
      </c>
      <c r="W371" s="4" t="s">
        <v>1134</v>
      </c>
      <c r="X371" s="2"/>
      <c r="Y371" s="432" t="s">
        <v>958</v>
      </c>
      <c r="Z371" s="433">
        <v>0.03</v>
      </c>
      <c r="AA371" s="480" t="s">
        <v>372</v>
      </c>
      <c r="AB371" s="435" t="s">
        <v>1135</v>
      </c>
      <c r="AC371" s="436" t="str">
        <f t="shared" si="5"/>
        <v>静岡県森町</v>
      </c>
      <c r="AD371" s="457">
        <v>10.210000000000001</v>
      </c>
      <c r="AE371" s="435">
        <v>10.17</v>
      </c>
      <c r="AF371" s="456">
        <v>10.14</v>
      </c>
      <c r="AG371" s="414"/>
      <c r="AH371" s="414"/>
    </row>
    <row r="372" spans="22:34">
      <c r="V372" s="4" t="s">
        <v>308</v>
      </c>
      <c r="W372" s="4" t="s">
        <v>1136</v>
      </c>
      <c r="X372" s="2"/>
      <c r="Y372" s="432" t="s">
        <v>958</v>
      </c>
      <c r="Z372" s="433">
        <v>0.03</v>
      </c>
      <c r="AA372" s="480" t="s">
        <v>376</v>
      </c>
      <c r="AB372" s="435" t="s">
        <v>1137</v>
      </c>
      <c r="AC372" s="436" t="str">
        <f t="shared" si="5"/>
        <v>愛知県豊橋市</v>
      </c>
      <c r="AD372" s="457">
        <v>10.210000000000001</v>
      </c>
      <c r="AE372" s="435">
        <v>10.17</v>
      </c>
      <c r="AF372" s="456">
        <v>10.14</v>
      </c>
      <c r="AG372" s="414"/>
      <c r="AH372" s="414"/>
    </row>
    <row r="373" spans="22:34">
      <c r="V373" s="4" t="s">
        <v>308</v>
      </c>
      <c r="W373" s="4" t="s">
        <v>1138</v>
      </c>
      <c r="X373" s="2"/>
      <c r="Y373" s="432" t="s">
        <v>958</v>
      </c>
      <c r="Z373" s="433">
        <v>0.03</v>
      </c>
      <c r="AA373" s="480" t="s">
        <v>376</v>
      </c>
      <c r="AB373" s="435" t="s">
        <v>1139</v>
      </c>
      <c r="AC373" s="436" t="str">
        <f t="shared" si="5"/>
        <v>愛知県半田市</v>
      </c>
      <c r="AD373" s="457">
        <v>10.210000000000001</v>
      </c>
      <c r="AE373" s="435">
        <v>10.17</v>
      </c>
      <c r="AF373" s="456">
        <v>10.14</v>
      </c>
      <c r="AG373" s="414"/>
      <c r="AH373" s="414"/>
    </row>
    <row r="374" spans="22:34">
      <c r="V374" s="4" t="s">
        <v>308</v>
      </c>
      <c r="W374" s="4" t="s">
        <v>1140</v>
      </c>
      <c r="X374" s="2"/>
      <c r="Y374" s="432" t="s">
        <v>958</v>
      </c>
      <c r="Z374" s="433">
        <v>0.03</v>
      </c>
      <c r="AA374" s="480" t="s">
        <v>376</v>
      </c>
      <c r="AB374" s="435" t="s">
        <v>1141</v>
      </c>
      <c r="AC374" s="436" t="str">
        <f t="shared" si="5"/>
        <v>愛知県豊川市</v>
      </c>
      <c r="AD374" s="457">
        <v>10.210000000000001</v>
      </c>
      <c r="AE374" s="435">
        <v>10.17</v>
      </c>
      <c r="AF374" s="456">
        <v>10.14</v>
      </c>
      <c r="AG374" s="414"/>
      <c r="AH374" s="414"/>
    </row>
    <row r="375" spans="22:34">
      <c r="V375" s="4" t="s">
        <v>308</v>
      </c>
      <c r="W375" s="4" t="s">
        <v>1142</v>
      </c>
      <c r="X375" s="2"/>
      <c r="Y375" s="432" t="s">
        <v>958</v>
      </c>
      <c r="Z375" s="433">
        <v>0.03</v>
      </c>
      <c r="AA375" s="480" t="s">
        <v>376</v>
      </c>
      <c r="AB375" s="435" t="s">
        <v>1143</v>
      </c>
      <c r="AC375" s="436" t="str">
        <f t="shared" si="5"/>
        <v>愛知県蒲郡市</v>
      </c>
      <c r="AD375" s="457">
        <v>10.210000000000001</v>
      </c>
      <c r="AE375" s="435">
        <v>10.17</v>
      </c>
      <c r="AF375" s="456">
        <v>10.14</v>
      </c>
      <c r="AG375" s="414"/>
      <c r="AH375" s="414"/>
    </row>
    <row r="376" spans="22:34">
      <c r="V376" s="4" t="s">
        <v>308</v>
      </c>
      <c r="W376" s="4" t="s">
        <v>1144</v>
      </c>
      <c r="X376" s="2"/>
      <c r="Y376" s="432" t="s">
        <v>958</v>
      </c>
      <c r="Z376" s="433">
        <v>0.03</v>
      </c>
      <c r="AA376" s="480" t="s">
        <v>376</v>
      </c>
      <c r="AB376" s="435" t="s">
        <v>1145</v>
      </c>
      <c r="AC376" s="436" t="str">
        <f t="shared" si="5"/>
        <v>愛知県常滑市</v>
      </c>
      <c r="AD376" s="457">
        <v>10.210000000000001</v>
      </c>
      <c r="AE376" s="435">
        <v>10.17</v>
      </c>
      <c r="AF376" s="456">
        <v>10.14</v>
      </c>
      <c r="AG376" s="414"/>
      <c r="AH376" s="414"/>
    </row>
    <row r="377" spans="22:34">
      <c r="V377" s="4" t="s">
        <v>308</v>
      </c>
      <c r="W377" s="4" t="s">
        <v>1146</v>
      </c>
      <c r="X377" s="2"/>
      <c r="Y377" s="432" t="s">
        <v>958</v>
      </c>
      <c r="Z377" s="433">
        <v>0.03</v>
      </c>
      <c r="AA377" s="480" t="s">
        <v>376</v>
      </c>
      <c r="AB377" s="435" t="s">
        <v>1147</v>
      </c>
      <c r="AC377" s="436" t="str">
        <f t="shared" si="5"/>
        <v>愛知県小牧市</v>
      </c>
      <c r="AD377" s="457">
        <v>10.210000000000001</v>
      </c>
      <c r="AE377" s="435">
        <v>10.17</v>
      </c>
      <c r="AF377" s="456">
        <v>10.14</v>
      </c>
      <c r="AG377" s="414"/>
      <c r="AH377" s="414"/>
    </row>
    <row r="378" spans="22:34">
      <c r="V378" s="4" t="s">
        <v>308</v>
      </c>
      <c r="W378" s="4" t="s">
        <v>1148</v>
      </c>
      <c r="X378" s="2"/>
      <c r="Y378" s="432" t="s">
        <v>958</v>
      </c>
      <c r="Z378" s="433">
        <v>0.03</v>
      </c>
      <c r="AA378" s="480" t="s">
        <v>376</v>
      </c>
      <c r="AB378" s="435" t="s">
        <v>1149</v>
      </c>
      <c r="AC378" s="436" t="str">
        <f t="shared" si="5"/>
        <v>愛知県新城市</v>
      </c>
      <c r="AD378" s="457">
        <v>10.210000000000001</v>
      </c>
      <c r="AE378" s="435">
        <v>10.17</v>
      </c>
      <c r="AF378" s="456">
        <v>10.14</v>
      </c>
      <c r="AG378" s="414"/>
      <c r="AH378" s="414"/>
    </row>
    <row r="379" spans="22:34">
      <c r="V379" s="4" t="s">
        <v>308</v>
      </c>
      <c r="W379" s="4" t="s">
        <v>1150</v>
      </c>
      <c r="X379" s="2"/>
      <c r="Y379" s="432" t="s">
        <v>958</v>
      </c>
      <c r="Z379" s="433">
        <v>0.03</v>
      </c>
      <c r="AA379" s="480" t="s">
        <v>376</v>
      </c>
      <c r="AB379" s="435" t="s">
        <v>1151</v>
      </c>
      <c r="AC379" s="436" t="str">
        <f t="shared" si="5"/>
        <v>愛知県東海市</v>
      </c>
      <c r="AD379" s="457">
        <v>10.210000000000001</v>
      </c>
      <c r="AE379" s="435">
        <v>10.17</v>
      </c>
      <c r="AF379" s="456">
        <v>10.14</v>
      </c>
      <c r="AG379" s="414"/>
      <c r="AH379" s="414"/>
    </row>
    <row r="380" spans="22:34">
      <c r="V380" s="4" t="s">
        <v>308</v>
      </c>
      <c r="W380" s="4" t="s">
        <v>1152</v>
      </c>
      <c r="X380" s="2"/>
      <c r="Y380" s="432" t="s">
        <v>958</v>
      </c>
      <c r="Z380" s="433">
        <v>0.03</v>
      </c>
      <c r="AA380" s="480" t="s">
        <v>376</v>
      </c>
      <c r="AB380" s="435" t="s">
        <v>1153</v>
      </c>
      <c r="AC380" s="436" t="str">
        <f t="shared" si="5"/>
        <v>愛知県大府市</v>
      </c>
      <c r="AD380" s="457">
        <v>10.210000000000001</v>
      </c>
      <c r="AE380" s="435">
        <v>10.17</v>
      </c>
      <c r="AF380" s="456">
        <v>10.14</v>
      </c>
      <c r="AG380" s="414"/>
      <c r="AH380" s="414"/>
    </row>
    <row r="381" spans="22:34">
      <c r="V381" s="4" t="s">
        <v>308</v>
      </c>
      <c r="W381" s="4" t="s">
        <v>1154</v>
      </c>
      <c r="X381" s="2"/>
      <c r="Y381" s="432" t="s">
        <v>958</v>
      </c>
      <c r="Z381" s="433">
        <v>0.03</v>
      </c>
      <c r="AA381" s="480" t="s">
        <v>376</v>
      </c>
      <c r="AB381" s="435" t="s">
        <v>1155</v>
      </c>
      <c r="AC381" s="436" t="str">
        <f t="shared" si="5"/>
        <v>愛知県知多市</v>
      </c>
      <c r="AD381" s="457">
        <v>10.210000000000001</v>
      </c>
      <c r="AE381" s="435">
        <v>10.17</v>
      </c>
      <c r="AF381" s="456">
        <v>10.14</v>
      </c>
      <c r="AG381" s="414"/>
      <c r="AH381" s="414"/>
    </row>
    <row r="382" spans="22:34">
      <c r="V382" s="4" t="s">
        <v>308</v>
      </c>
      <c r="W382" s="4" t="s">
        <v>1156</v>
      </c>
      <c r="X382" s="2"/>
      <c r="Y382" s="432" t="s">
        <v>958</v>
      </c>
      <c r="Z382" s="433">
        <v>0.03</v>
      </c>
      <c r="AA382" s="480" t="s">
        <v>376</v>
      </c>
      <c r="AB382" s="435" t="s">
        <v>1157</v>
      </c>
      <c r="AC382" s="436" t="str">
        <f t="shared" si="5"/>
        <v>愛知県高浜市</v>
      </c>
      <c r="AD382" s="457">
        <v>10.210000000000001</v>
      </c>
      <c r="AE382" s="435">
        <v>10.17</v>
      </c>
      <c r="AF382" s="456">
        <v>10.14</v>
      </c>
      <c r="AG382" s="414"/>
      <c r="AH382" s="414"/>
    </row>
    <row r="383" spans="22:34">
      <c r="V383" s="4" t="s">
        <v>308</v>
      </c>
      <c r="W383" s="4" t="s">
        <v>1158</v>
      </c>
      <c r="X383" s="2"/>
      <c r="Y383" s="432" t="s">
        <v>958</v>
      </c>
      <c r="Z383" s="433">
        <v>0.03</v>
      </c>
      <c r="AA383" s="480" t="s">
        <v>376</v>
      </c>
      <c r="AB383" s="435" t="s">
        <v>1159</v>
      </c>
      <c r="AC383" s="436" t="str">
        <f t="shared" si="5"/>
        <v>愛知県田原市</v>
      </c>
      <c r="AD383" s="457">
        <v>10.210000000000001</v>
      </c>
      <c r="AE383" s="435">
        <v>10.17</v>
      </c>
      <c r="AF383" s="456">
        <v>10.14</v>
      </c>
      <c r="AG383" s="414"/>
      <c r="AH383" s="414"/>
    </row>
    <row r="384" spans="22:34">
      <c r="V384" s="4" t="s">
        <v>308</v>
      </c>
      <c r="W384" s="4" t="s">
        <v>1160</v>
      </c>
      <c r="X384" s="2"/>
      <c r="Y384" s="432" t="s">
        <v>958</v>
      </c>
      <c r="Z384" s="433">
        <v>0.03</v>
      </c>
      <c r="AA384" s="480" t="s">
        <v>376</v>
      </c>
      <c r="AB384" s="435" t="s">
        <v>1161</v>
      </c>
      <c r="AC384" s="436" t="str">
        <f t="shared" si="5"/>
        <v>愛知県大口町</v>
      </c>
      <c r="AD384" s="457">
        <v>10.210000000000001</v>
      </c>
      <c r="AE384" s="435">
        <v>10.17</v>
      </c>
      <c r="AF384" s="456">
        <v>10.14</v>
      </c>
      <c r="AG384" s="414"/>
      <c r="AH384" s="414"/>
    </row>
    <row r="385" spans="22:34">
      <c r="V385" s="4" t="s">
        <v>308</v>
      </c>
      <c r="W385" s="4" t="s">
        <v>1162</v>
      </c>
      <c r="X385" s="2"/>
      <c r="Y385" s="432" t="s">
        <v>958</v>
      </c>
      <c r="Z385" s="433">
        <v>0.03</v>
      </c>
      <c r="AA385" s="480" t="s">
        <v>376</v>
      </c>
      <c r="AB385" s="435" t="s">
        <v>1163</v>
      </c>
      <c r="AC385" s="436" t="str">
        <f t="shared" si="5"/>
        <v>愛知県扶桑町</v>
      </c>
      <c r="AD385" s="457">
        <v>10.210000000000001</v>
      </c>
      <c r="AE385" s="435">
        <v>10.17</v>
      </c>
      <c r="AF385" s="456">
        <v>10.14</v>
      </c>
      <c r="AG385" s="414"/>
      <c r="AH385" s="414"/>
    </row>
    <row r="386" spans="22:34">
      <c r="V386" s="4" t="s">
        <v>308</v>
      </c>
      <c r="W386" s="4" t="s">
        <v>1164</v>
      </c>
      <c r="X386" s="2"/>
      <c r="Y386" s="432" t="s">
        <v>958</v>
      </c>
      <c r="Z386" s="433">
        <v>0.03</v>
      </c>
      <c r="AA386" s="480" t="s">
        <v>376</v>
      </c>
      <c r="AB386" s="435" t="s">
        <v>1165</v>
      </c>
      <c r="AC386" s="436" t="str">
        <f t="shared" si="5"/>
        <v>愛知県阿久比町</v>
      </c>
      <c r="AD386" s="457">
        <v>10.210000000000001</v>
      </c>
      <c r="AE386" s="435">
        <v>10.17</v>
      </c>
      <c r="AF386" s="456">
        <v>10.14</v>
      </c>
      <c r="AG386" s="414"/>
      <c r="AH386" s="414"/>
    </row>
    <row r="387" spans="22:34">
      <c r="V387" s="4" t="s">
        <v>308</v>
      </c>
      <c r="W387" s="4" t="s">
        <v>1075</v>
      </c>
      <c r="X387" s="2"/>
      <c r="Y387" s="432" t="s">
        <v>958</v>
      </c>
      <c r="Z387" s="433">
        <v>0.03</v>
      </c>
      <c r="AA387" s="480" t="s">
        <v>376</v>
      </c>
      <c r="AB387" s="435" t="s">
        <v>1166</v>
      </c>
      <c r="AC387" s="436" t="str">
        <f t="shared" si="5"/>
        <v>愛知県東浦町</v>
      </c>
      <c r="AD387" s="457">
        <v>10.210000000000001</v>
      </c>
      <c r="AE387" s="435">
        <v>10.17</v>
      </c>
      <c r="AF387" s="456">
        <v>10.14</v>
      </c>
      <c r="AG387" s="414"/>
      <c r="AH387" s="414"/>
    </row>
    <row r="388" spans="22:34">
      <c r="V388" s="4" t="s">
        <v>308</v>
      </c>
      <c r="W388" s="4" t="s">
        <v>1167</v>
      </c>
      <c r="X388" s="2"/>
      <c r="Y388" s="432" t="s">
        <v>958</v>
      </c>
      <c r="Z388" s="433">
        <v>0.03</v>
      </c>
      <c r="AA388" s="480" t="s">
        <v>376</v>
      </c>
      <c r="AB388" s="435" t="s">
        <v>1168</v>
      </c>
      <c r="AC388" s="436" t="str">
        <f t="shared" ref="AC388:AC451" si="6">AA388&amp;AB388</f>
        <v>愛知県武豊町</v>
      </c>
      <c r="AD388" s="457">
        <v>10.210000000000001</v>
      </c>
      <c r="AE388" s="435">
        <v>10.17</v>
      </c>
      <c r="AF388" s="456">
        <v>10.14</v>
      </c>
      <c r="AG388" s="414"/>
      <c r="AH388" s="414"/>
    </row>
    <row r="389" spans="22:34">
      <c r="V389" s="4" t="s">
        <v>308</v>
      </c>
      <c r="W389" s="4" t="s">
        <v>1169</v>
      </c>
      <c r="X389" s="2"/>
      <c r="Y389" s="432" t="s">
        <v>958</v>
      </c>
      <c r="Z389" s="433">
        <v>0.03</v>
      </c>
      <c r="AA389" s="480" t="s">
        <v>376</v>
      </c>
      <c r="AB389" s="435" t="s">
        <v>1170</v>
      </c>
      <c r="AC389" s="436" t="str">
        <f t="shared" si="6"/>
        <v>愛知県幸田町</v>
      </c>
      <c r="AD389" s="457">
        <v>10.210000000000001</v>
      </c>
      <c r="AE389" s="435">
        <v>10.17</v>
      </c>
      <c r="AF389" s="456">
        <v>10.14</v>
      </c>
      <c r="AG389" s="414"/>
      <c r="AH389" s="414"/>
    </row>
    <row r="390" spans="22:34">
      <c r="V390" s="4" t="s">
        <v>308</v>
      </c>
      <c r="W390" s="4" t="s">
        <v>1171</v>
      </c>
      <c r="X390" s="2"/>
      <c r="Y390" s="432" t="s">
        <v>958</v>
      </c>
      <c r="Z390" s="433">
        <v>0.03</v>
      </c>
      <c r="AA390" s="480" t="s">
        <v>376</v>
      </c>
      <c r="AB390" s="435" t="s">
        <v>1172</v>
      </c>
      <c r="AC390" s="436" t="str">
        <f t="shared" si="6"/>
        <v>愛知県設楽町</v>
      </c>
      <c r="AD390" s="457">
        <v>10.210000000000001</v>
      </c>
      <c r="AE390" s="435">
        <v>10.17</v>
      </c>
      <c r="AF390" s="456">
        <v>10.14</v>
      </c>
      <c r="AG390" s="414"/>
      <c r="AH390" s="414"/>
    </row>
    <row r="391" spans="22:34">
      <c r="V391" s="4" t="s">
        <v>308</v>
      </c>
      <c r="W391" s="4" t="s">
        <v>1173</v>
      </c>
      <c r="X391" s="2"/>
      <c r="Y391" s="432" t="s">
        <v>958</v>
      </c>
      <c r="Z391" s="433">
        <v>0.03</v>
      </c>
      <c r="AA391" s="480" t="s">
        <v>376</v>
      </c>
      <c r="AB391" s="435" t="s">
        <v>1174</v>
      </c>
      <c r="AC391" s="436" t="str">
        <f t="shared" si="6"/>
        <v>愛知県東栄町</v>
      </c>
      <c r="AD391" s="457">
        <v>10.210000000000001</v>
      </c>
      <c r="AE391" s="435">
        <v>10.17</v>
      </c>
      <c r="AF391" s="456">
        <v>10.14</v>
      </c>
      <c r="AG391" s="414"/>
      <c r="AH391" s="414"/>
    </row>
    <row r="392" spans="22:34">
      <c r="V392" s="4" t="s">
        <v>308</v>
      </c>
      <c r="W392" s="4" t="s">
        <v>1175</v>
      </c>
      <c r="X392" s="2"/>
      <c r="Y392" s="432" t="s">
        <v>958</v>
      </c>
      <c r="Z392" s="433">
        <v>0.03</v>
      </c>
      <c r="AA392" s="480" t="s">
        <v>376</v>
      </c>
      <c r="AB392" s="435" t="s">
        <v>1176</v>
      </c>
      <c r="AC392" s="436" t="str">
        <f t="shared" si="6"/>
        <v>愛知県豊根村</v>
      </c>
      <c r="AD392" s="457">
        <v>10.210000000000001</v>
      </c>
      <c r="AE392" s="435">
        <v>10.17</v>
      </c>
      <c r="AF392" s="456">
        <v>10.14</v>
      </c>
      <c r="AG392" s="414"/>
      <c r="AH392" s="414"/>
    </row>
    <row r="393" spans="22:34">
      <c r="V393" s="4" t="s">
        <v>308</v>
      </c>
      <c r="W393" s="4" t="s">
        <v>1177</v>
      </c>
      <c r="X393" s="2"/>
      <c r="Y393" s="432" t="s">
        <v>958</v>
      </c>
      <c r="Z393" s="433">
        <v>0.03</v>
      </c>
      <c r="AA393" s="480" t="s">
        <v>380</v>
      </c>
      <c r="AB393" s="435" t="s">
        <v>1178</v>
      </c>
      <c r="AC393" s="436" t="str">
        <f t="shared" si="6"/>
        <v>三重県名張市</v>
      </c>
      <c r="AD393" s="457">
        <v>10.210000000000001</v>
      </c>
      <c r="AE393" s="435">
        <v>10.17</v>
      </c>
      <c r="AF393" s="456">
        <v>10.14</v>
      </c>
      <c r="AG393" s="414"/>
      <c r="AH393" s="414"/>
    </row>
    <row r="394" spans="22:34">
      <c r="V394" s="4" t="s">
        <v>308</v>
      </c>
      <c r="W394" s="4" t="s">
        <v>1179</v>
      </c>
      <c r="X394" s="2"/>
      <c r="Y394" s="432" t="s">
        <v>958</v>
      </c>
      <c r="Z394" s="433">
        <v>0.03</v>
      </c>
      <c r="AA394" s="480" t="s">
        <v>380</v>
      </c>
      <c r="AB394" s="435" t="s">
        <v>1180</v>
      </c>
      <c r="AC394" s="436" t="str">
        <f t="shared" si="6"/>
        <v>三重県いなべ市</v>
      </c>
      <c r="AD394" s="457">
        <v>10.210000000000001</v>
      </c>
      <c r="AE394" s="435">
        <v>10.17</v>
      </c>
      <c r="AF394" s="456">
        <v>10.14</v>
      </c>
      <c r="AG394" s="414"/>
      <c r="AH394" s="414"/>
    </row>
    <row r="395" spans="22:34">
      <c r="V395" s="4" t="s">
        <v>308</v>
      </c>
      <c r="W395" s="4" t="s">
        <v>1181</v>
      </c>
      <c r="X395" s="2"/>
      <c r="Y395" s="432" t="s">
        <v>958</v>
      </c>
      <c r="Z395" s="433">
        <v>0.03</v>
      </c>
      <c r="AA395" s="480" t="s">
        <v>380</v>
      </c>
      <c r="AB395" s="435" t="s">
        <v>1182</v>
      </c>
      <c r="AC395" s="436" t="str">
        <f t="shared" si="6"/>
        <v>三重県伊賀市</v>
      </c>
      <c r="AD395" s="457">
        <v>10.210000000000001</v>
      </c>
      <c r="AE395" s="435">
        <v>10.17</v>
      </c>
      <c r="AF395" s="456">
        <v>10.14</v>
      </c>
      <c r="AG395" s="414"/>
      <c r="AH395" s="414"/>
    </row>
    <row r="396" spans="22:34">
      <c r="V396" s="4" t="s">
        <v>308</v>
      </c>
      <c r="W396" s="4" t="s">
        <v>1183</v>
      </c>
      <c r="X396" s="2"/>
      <c r="Y396" s="432" t="s">
        <v>958</v>
      </c>
      <c r="Z396" s="433">
        <v>0.03</v>
      </c>
      <c r="AA396" s="480" t="s">
        <v>380</v>
      </c>
      <c r="AB396" s="435" t="s">
        <v>1184</v>
      </c>
      <c r="AC396" s="436" t="str">
        <f t="shared" si="6"/>
        <v>三重県木曽岬町</v>
      </c>
      <c r="AD396" s="457">
        <v>10.210000000000001</v>
      </c>
      <c r="AE396" s="435">
        <v>10.17</v>
      </c>
      <c r="AF396" s="456">
        <v>10.14</v>
      </c>
      <c r="AG396" s="414"/>
      <c r="AH396" s="414"/>
    </row>
    <row r="397" spans="22:34">
      <c r="V397" s="4" t="s">
        <v>308</v>
      </c>
      <c r="W397" s="4" t="s">
        <v>1185</v>
      </c>
      <c r="X397" s="2"/>
      <c r="Y397" s="432" t="s">
        <v>958</v>
      </c>
      <c r="Z397" s="433">
        <v>0.03</v>
      </c>
      <c r="AA397" s="480" t="s">
        <v>380</v>
      </c>
      <c r="AB397" s="435" t="s">
        <v>1186</v>
      </c>
      <c r="AC397" s="436" t="str">
        <f t="shared" si="6"/>
        <v>三重県東員町</v>
      </c>
      <c r="AD397" s="457">
        <v>10.210000000000001</v>
      </c>
      <c r="AE397" s="435">
        <v>10.17</v>
      </c>
      <c r="AF397" s="456">
        <v>10.14</v>
      </c>
      <c r="AG397" s="414"/>
      <c r="AH397" s="414"/>
    </row>
    <row r="398" spans="22:34">
      <c r="V398" s="4" t="s">
        <v>308</v>
      </c>
      <c r="W398" s="4" t="s">
        <v>1187</v>
      </c>
      <c r="X398" s="2"/>
      <c r="Y398" s="432" t="s">
        <v>958</v>
      </c>
      <c r="Z398" s="433">
        <v>0.03</v>
      </c>
      <c r="AA398" s="480" t="s">
        <v>380</v>
      </c>
      <c r="AB398" s="435" t="s">
        <v>1188</v>
      </c>
      <c r="AC398" s="436" t="str">
        <f t="shared" si="6"/>
        <v>三重県菰野町</v>
      </c>
      <c r="AD398" s="457">
        <v>10.210000000000001</v>
      </c>
      <c r="AE398" s="435">
        <v>10.17</v>
      </c>
      <c r="AF398" s="456">
        <v>10.14</v>
      </c>
      <c r="AG398" s="414"/>
      <c r="AH398" s="414"/>
    </row>
    <row r="399" spans="22:34">
      <c r="V399" s="4" t="s">
        <v>308</v>
      </c>
      <c r="W399" s="4" t="s">
        <v>1189</v>
      </c>
      <c r="X399" s="2"/>
      <c r="Y399" s="432" t="s">
        <v>958</v>
      </c>
      <c r="Z399" s="433">
        <v>0.03</v>
      </c>
      <c r="AA399" s="480" t="s">
        <v>380</v>
      </c>
      <c r="AB399" s="435" t="s">
        <v>1190</v>
      </c>
      <c r="AC399" s="436" t="str">
        <f t="shared" si="6"/>
        <v>三重県朝日町</v>
      </c>
      <c r="AD399" s="457">
        <v>10.210000000000001</v>
      </c>
      <c r="AE399" s="435">
        <v>10.17</v>
      </c>
      <c r="AF399" s="456">
        <v>10.14</v>
      </c>
      <c r="AG399" s="414"/>
      <c r="AH399" s="414"/>
    </row>
    <row r="400" spans="22:34">
      <c r="V400" s="4" t="s">
        <v>308</v>
      </c>
      <c r="W400" s="4" t="s">
        <v>1191</v>
      </c>
      <c r="X400" s="2"/>
      <c r="Y400" s="432" t="s">
        <v>958</v>
      </c>
      <c r="Z400" s="433">
        <v>0.03</v>
      </c>
      <c r="AA400" s="480" t="s">
        <v>380</v>
      </c>
      <c r="AB400" s="435" t="s">
        <v>1192</v>
      </c>
      <c r="AC400" s="436" t="str">
        <f t="shared" si="6"/>
        <v>三重県川越町</v>
      </c>
      <c r="AD400" s="457">
        <v>10.210000000000001</v>
      </c>
      <c r="AE400" s="435">
        <v>10.17</v>
      </c>
      <c r="AF400" s="456">
        <v>10.14</v>
      </c>
      <c r="AG400" s="414"/>
      <c r="AH400" s="414"/>
    </row>
    <row r="401" spans="22:34">
      <c r="V401" s="4" t="s">
        <v>308</v>
      </c>
      <c r="W401" s="4" t="s">
        <v>1193</v>
      </c>
      <c r="X401" s="2"/>
      <c r="Y401" s="432" t="s">
        <v>958</v>
      </c>
      <c r="Z401" s="433">
        <v>0.03</v>
      </c>
      <c r="AA401" s="480" t="s">
        <v>385</v>
      </c>
      <c r="AB401" s="435" t="s">
        <v>1194</v>
      </c>
      <c r="AC401" s="436" t="str">
        <f t="shared" si="6"/>
        <v>滋賀県長浜市</v>
      </c>
      <c r="AD401" s="457">
        <v>10.210000000000001</v>
      </c>
      <c r="AE401" s="435">
        <v>10.17</v>
      </c>
      <c r="AF401" s="456">
        <v>10.14</v>
      </c>
      <c r="AG401" s="414"/>
      <c r="AH401" s="414"/>
    </row>
    <row r="402" spans="22:34">
      <c r="V402" s="4" t="s">
        <v>308</v>
      </c>
      <c r="W402" s="4" t="s">
        <v>1195</v>
      </c>
      <c r="X402" s="2"/>
      <c r="Y402" s="432" t="s">
        <v>958</v>
      </c>
      <c r="Z402" s="433">
        <v>0.03</v>
      </c>
      <c r="AA402" s="480" t="s">
        <v>385</v>
      </c>
      <c r="AB402" s="435" t="s">
        <v>1196</v>
      </c>
      <c r="AC402" s="436" t="str">
        <f t="shared" si="6"/>
        <v>滋賀県近江八幡市</v>
      </c>
      <c r="AD402" s="457">
        <v>10.210000000000001</v>
      </c>
      <c r="AE402" s="435">
        <v>10.17</v>
      </c>
      <c r="AF402" s="456">
        <v>10.14</v>
      </c>
      <c r="AG402" s="414"/>
      <c r="AH402" s="414"/>
    </row>
    <row r="403" spans="22:34">
      <c r="V403" s="4" t="s">
        <v>308</v>
      </c>
      <c r="W403" s="4" t="s">
        <v>1197</v>
      </c>
      <c r="X403" s="2"/>
      <c r="Y403" s="432" t="s">
        <v>958</v>
      </c>
      <c r="Z403" s="433">
        <v>0.03</v>
      </c>
      <c r="AA403" s="480" t="s">
        <v>385</v>
      </c>
      <c r="AB403" s="435" t="s">
        <v>1198</v>
      </c>
      <c r="AC403" s="436" t="str">
        <f t="shared" si="6"/>
        <v>滋賀県野洲市</v>
      </c>
      <c r="AD403" s="457">
        <v>10.210000000000001</v>
      </c>
      <c r="AE403" s="435">
        <v>10.17</v>
      </c>
      <c r="AF403" s="456">
        <v>10.14</v>
      </c>
      <c r="AG403" s="414"/>
      <c r="AH403" s="414"/>
    </row>
    <row r="404" spans="22:34">
      <c r="V404" s="4" t="s">
        <v>308</v>
      </c>
      <c r="W404" s="4" t="s">
        <v>1199</v>
      </c>
      <c r="X404" s="2"/>
      <c r="Y404" s="432" t="s">
        <v>958</v>
      </c>
      <c r="Z404" s="433">
        <v>0.03</v>
      </c>
      <c r="AA404" s="480" t="s">
        <v>385</v>
      </c>
      <c r="AB404" s="435" t="s">
        <v>1200</v>
      </c>
      <c r="AC404" s="436" t="str">
        <f t="shared" si="6"/>
        <v>滋賀県湖南市</v>
      </c>
      <c r="AD404" s="457">
        <v>10.210000000000001</v>
      </c>
      <c r="AE404" s="435">
        <v>10.17</v>
      </c>
      <c r="AF404" s="456">
        <v>10.14</v>
      </c>
      <c r="AG404" s="414"/>
      <c r="AH404" s="414"/>
    </row>
    <row r="405" spans="22:34">
      <c r="V405" s="4" t="s">
        <v>308</v>
      </c>
      <c r="W405" s="4" t="s">
        <v>1201</v>
      </c>
      <c r="X405" s="2"/>
      <c r="Y405" s="432" t="s">
        <v>958</v>
      </c>
      <c r="Z405" s="433">
        <v>0.03</v>
      </c>
      <c r="AA405" s="480" t="s">
        <v>385</v>
      </c>
      <c r="AB405" s="435" t="s">
        <v>1202</v>
      </c>
      <c r="AC405" s="436" t="str">
        <f t="shared" si="6"/>
        <v>滋賀県高島市</v>
      </c>
      <c r="AD405" s="457">
        <v>10.210000000000001</v>
      </c>
      <c r="AE405" s="435">
        <v>10.17</v>
      </c>
      <c r="AF405" s="456">
        <v>10.14</v>
      </c>
      <c r="AG405" s="414"/>
      <c r="AH405" s="414"/>
    </row>
    <row r="406" spans="22:34">
      <c r="V406" s="4" t="s">
        <v>308</v>
      </c>
      <c r="W406" s="4" t="s">
        <v>1203</v>
      </c>
      <c r="X406" s="2"/>
      <c r="Y406" s="432" t="s">
        <v>958</v>
      </c>
      <c r="Z406" s="433">
        <v>0.03</v>
      </c>
      <c r="AA406" s="480" t="s">
        <v>385</v>
      </c>
      <c r="AB406" s="435" t="s">
        <v>1204</v>
      </c>
      <c r="AC406" s="436" t="str">
        <f t="shared" si="6"/>
        <v>滋賀県東近江市</v>
      </c>
      <c r="AD406" s="457">
        <v>10.210000000000001</v>
      </c>
      <c r="AE406" s="435">
        <v>10.17</v>
      </c>
      <c r="AF406" s="456">
        <v>10.14</v>
      </c>
      <c r="AG406" s="414"/>
      <c r="AH406" s="414"/>
    </row>
    <row r="407" spans="22:34">
      <c r="V407" s="4" t="s">
        <v>308</v>
      </c>
      <c r="W407" s="4" t="s">
        <v>1205</v>
      </c>
      <c r="X407" s="2"/>
      <c r="Y407" s="432" t="s">
        <v>958</v>
      </c>
      <c r="Z407" s="433">
        <v>0.03</v>
      </c>
      <c r="AA407" s="480" t="s">
        <v>385</v>
      </c>
      <c r="AB407" s="435" t="s">
        <v>1206</v>
      </c>
      <c r="AC407" s="436" t="str">
        <f t="shared" si="6"/>
        <v>滋賀県日野町</v>
      </c>
      <c r="AD407" s="457">
        <v>10.210000000000001</v>
      </c>
      <c r="AE407" s="435">
        <v>10.17</v>
      </c>
      <c r="AF407" s="456">
        <v>10.14</v>
      </c>
      <c r="AG407" s="414"/>
      <c r="AH407" s="414"/>
    </row>
    <row r="408" spans="22:34">
      <c r="V408" s="4" t="s">
        <v>308</v>
      </c>
      <c r="W408" s="4" t="s">
        <v>1207</v>
      </c>
      <c r="X408" s="2"/>
      <c r="Y408" s="432" t="s">
        <v>958</v>
      </c>
      <c r="Z408" s="433">
        <v>0.03</v>
      </c>
      <c r="AA408" s="480" t="s">
        <v>385</v>
      </c>
      <c r="AB408" s="435" t="s">
        <v>1208</v>
      </c>
      <c r="AC408" s="436" t="str">
        <f t="shared" si="6"/>
        <v>滋賀県竜王町</v>
      </c>
      <c r="AD408" s="457">
        <v>10.210000000000001</v>
      </c>
      <c r="AE408" s="435">
        <v>10.17</v>
      </c>
      <c r="AF408" s="456">
        <v>10.14</v>
      </c>
      <c r="AG408" s="414"/>
      <c r="AH408" s="414"/>
    </row>
    <row r="409" spans="22:34">
      <c r="V409" s="4" t="s">
        <v>308</v>
      </c>
      <c r="W409" s="4" t="s">
        <v>1209</v>
      </c>
      <c r="X409" s="2"/>
      <c r="Y409" s="432" t="s">
        <v>958</v>
      </c>
      <c r="Z409" s="433">
        <v>0.03</v>
      </c>
      <c r="AA409" s="480" t="s">
        <v>389</v>
      </c>
      <c r="AB409" s="435" t="s">
        <v>1210</v>
      </c>
      <c r="AC409" s="436" t="str">
        <f t="shared" si="6"/>
        <v>京都府久御山町</v>
      </c>
      <c r="AD409" s="457">
        <v>10.210000000000001</v>
      </c>
      <c r="AE409" s="435">
        <v>10.17</v>
      </c>
      <c r="AF409" s="456">
        <v>10.14</v>
      </c>
      <c r="AG409" s="414"/>
      <c r="AH409" s="414"/>
    </row>
    <row r="410" spans="22:34">
      <c r="V410" s="4" t="s">
        <v>308</v>
      </c>
      <c r="W410" s="4" t="s">
        <v>1211</v>
      </c>
      <c r="X410" s="2"/>
      <c r="Y410" s="432" t="s">
        <v>958</v>
      </c>
      <c r="Z410" s="433">
        <v>0.03</v>
      </c>
      <c r="AA410" s="480" t="s">
        <v>397</v>
      </c>
      <c r="AB410" s="435" t="s">
        <v>1212</v>
      </c>
      <c r="AC410" s="436" t="str">
        <f t="shared" si="6"/>
        <v>兵庫県姫路市</v>
      </c>
      <c r="AD410" s="457">
        <v>10.210000000000001</v>
      </c>
      <c r="AE410" s="435">
        <v>10.17</v>
      </c>
      <c r="AF410" s="456">
        <v>10.14</v>
      </c>
      <c r="AG410" s="414"/>
      <c r="AH410" s="414"/>
    </row>
    <row r="411" spans="22:34">
      <c r="V411" s="4" t="s">
        <v>308</v>
      </c>
      <c r="W411" s="4" t="s">
        <v>1213</v>
      </c>
      <c r="X411" s="2"/>
      <c r="Y411" s="432" t="s">
        <v>958</v>
      </c>
      <c r="Z411" s="433">
        <v>0.03</v>
      </c>
      <c r="AA411" s="480" t="s">
        <v>397</v>
      </c>
      <c r="AB411" s="435" t="s">
        <v>1214</v>
      </c>
      <c r="AC411" s="436" t="str">
        <f t="shared" si="6"/>
        <v>兵庫県加古川市</v>
      </c>
      <c r="AD411" s="457">
        <v>10.210000000000001</v>
      </c>
      <c r="AE411" s="435">
        <v>10.17</v>
      </c>
      <c r="AF411" s="456">
        <v>10.14</v>
      </c>
      <c r="AG411" s="414"/>
      <c r="AH411" s="414"/>
    </row>
    <row r="412" spans="22:34">
      <c r="V412" s="4" t="s">
        <v>308</v>
      </c>
      <c r="W412" s="4" t="s">
        <v>1215</v>
      </c>
      <c r="X412" s="2"/>
      <c r="Y412" s="432" t="s">
        <v>958</v>
      </c>
      <c r="Z412" s="433">
        <v>0.03</v>
      </c>
      <c r="AA412" s="480" t="s">
        <v>397</v>
      </c>
      <c r="AB412" s="435" t="s">
        <v>1216</v>
      </c>
      <c r="AC412" s="436" t="str">
        <f t="shared" si="6"/>
        <v>兵庫県三木市</v>
      </c>
      <c r="AD412" s="457">
        <v>10.210000000000001</v>
      </c>
      <c r="AE412" s="435">
        <v>10.17</v>
      </c>
      <c r="AF412" s="456">
        <v>10.14</v>
      </c>
      <c r="AG412" s="414"/>
      <c r="AH412" s="414"/>
    </row>
    <row r="413" spans="22:34">
      <c r="V413" s="4" t="s">
        <v>308</v>
      </c>
      <c r="W413" s="4" t="s">
        <v>1217</v>
      </c>
      <c r="X413" s="2"/>
      <c r="Y413" s="432" t="s">
        <v>958</v>
      </c>
      <c r="Z413" s="433">
        <v>0.03</v>
      </c>
      <c r="AA413" s="480" t="s">
        <v>397</v>
      </c>
      <c r="AB413" s="435" t="s">
        <v>1218</v>
      </c>
      <c r="AC413" s="436" t="str">
        <f t="shared" si="6"/>
        <v>兵庫県高砂市</v>
      </c>
      <c r="AD413" s="457">
        <v>10.210000000000001</v>
      </c>
      <c r="AE413" s="435">
        <v>10.17</v>
      </c>
      <c r="AF413" s="456">
        <v>10.14</v>
      </c>
      <c r="AG413" s="414"/>
      <c r="AH413" s="414"/>
    </row>
    <row r="414" spans="22:34">
      <c r="V414" s="4" t="s">
        <v>308</v>
      </c>
      <c r="W414" s="4" t="s">
        <v>1219</v>
      </c>
      <c r="X414" s="2"/>
      <c r="Y414" s="432" t="s">
        <v>958</v>
      </c>
      <c r="Z414" s="433">
        <v>0.03</v>
      </c>
      <c r="AA414" s="480" t="s">
        <v>397</v>
      </c>
      <c r="AB414" s="435" t="s">
        <v>1220</v>
      </c>
      <c r="AC414" s="436" t="str">
        <f t="shared" si="6"/>
        <v>兵庫県稲美町</v>
      </c>
      <c r="AD414" s="457">
        <v>10.210000000000001</v>
      </c>
      <c r="AE414" s="435">
        <v>10.17</v>
      </c>
      <c r="AF414" s="456">
        <v>10.14</v>
      </c>
      <c r="AG414" s="414"/>
      <c r="AH414" s="414"/>
    </row>
    <row r="415" spans="22:34">
      <c r="V415" s="4" t="s">
        <v>313</v>
      </c>
      <c r="W415" s="4" t="s">
        <v>564</v>
      </c>
      <c r="X415" s="2"/>
      <c r="Y415" s="432" t="s">
        <v>958</v>
      </c>
      <c r="Z415" s="433">
        <v>0.03</v>
      </c>
      <c r="AA415" s="480" t="s">
        <v>397</v>
      </c>
      <c r="AB415" s="435" t="s">
        <v>1221</v>
      </c>
      <c r="AC415" s="436" t="str">
        <f t="shared" si="6"/>
        <v>兵庫県播磨町</v>
      </c>
      <c r="AD415" s="457">
        <v>10.210000000000001</v>
      </c>
      <c r="AE415" s="435">
        <v>10.17</v>
      </c>
      <c r="AF415" s="456">
        <v>10.14</v>
      </c>
      <c r="AG415" s="414"/>
      <c r="AH415" s="414"/>
    </row>
    <row r="416" spans="22:34">
      <c r="V416" s="4" t="s">
        <v>313</v>
      </c>
      <c r="W416" s="4" t="s">
        <v>566</v>
      </c>
      <c r="X416" s="2"/>
      <c r="Y416" s="432" t="s">
        <v>958</v>
      </c>
      <c r="Z416" s="433">
        <v>0.03</v>
      </c>
      <c r="AA416" s="480" t="s">
        <v>402</v>
      </c>
      <c r="AB416" s="435" t="s">
        <v>1222</v>
      </c>
      <c r="AC416" s="436" t="str">
        <f t="shared" si="6"/>
        <v>奈良県大和高田市</v>
      </c>
      <c r="AD416" s="457">
        <v>10.210000000000001</v>
      </c>
      <c r="AE416" s="435">
        <v>10.17</v>
      </c>
      <c r="AF416" s="456">
        <v>10.14</v>
      </c>
      <c r="AG416" s="414"/>
      <c r="AH416" s="414"/>
    </row>
    <row r="417" spans="22:34">
      <c r="V417" s="4" t="s">
        <v>313</v>
      </c>
      <c r="W417" s="4" t="s">
        <v>689</v>
      </c>
      <c r="X417" s="2"/>
      <c r="Y417" s="432" t="s">
        <v>958</v>
      </c>
      <c r="Z417" s="433">
        <v>0.03</v>
      </c>
      <c r="AA417" s="480" t="s">
        <v>402</v>
      </c>
      <c r="AB417" s="435" t="s">
        <v>1223</v>
      </c>
      <c r="AC417" s="436" t="str">
        <f t="shared" si="6"/>
        <v>奈良県天理市</v>
      </c>
      <c r="AD417" s="457">
        <v>10.210000000000001</v>
      </c>
      <c r="AE417" s="435">
        <v>10.17</v>
      </c>
      <c r="AF417" s="456">
        <v>10.14</v>
      </c>
      <c r="AG417" s="414"/>
      <c r="AH417" s="414"/>
    </row>
    <row r="418" spans="22:34">
      <c r="V418" s="4" t="s">
        <v>313</v>
      </c>
      <c r="W418" s="4" t="s">
        <v>691</v>
      </c>
      <c r="X418" s="2"/>
      <c r="Y418" s="432" t="s">
        <v>958</v>
      </c>
      <c r="Z418" s="433">
        <v>0.03</v>
      </c>
      <c r="AA418" s="480" t="s">
        <v>402</v>
      </c>
      <c r="AB418" s="435" t="s">
        <v>1224</v>
      </c>
      <c r="AC418" s="436" t="str">
        <f t="shared" si="6"/>
        <v>奈良県橿原市</v>
      </c>
      <c r="AD418" s="457">
        <v>10.210000000000001</v>
      </c>
      <c r="AE418" s="435">
        <v>10.17</v>
      </c>
      <c r="AF418" s="456">
        <v>10.14</v>
      </c>
      <c r="AG418" s="414"/>
      <c r="AH418" s="414"/>
    </row>
    <row r="419" spans="22:34">
      <c r="V419" s="4" t="s">
        <v>313</v>
      </c>
      <c r="W419" s="4" t="s">
        <v>1225</v>
      </c>
      <c r="X419" s="2"/>
      <c r="Y419" s="432" t="s">
        <v>958</v>
      </c>
      <c r="Z419" s="433">
        <v>0.03</v>
      </c>
      <c r="AA419" s="480" t="s">
        <v>402</v>
      </c>
      <c r="AB419" s="435" t="s">
        <v>1226</v>
      </c>
      <c r="AC419" s="436" t="str">
        <f t="shared" si="6"/>
        <v>奈良県桜井市</v>
      </c>
      <c r="AD419" s="457">
        <v>10.210000000000001</v>
      </c>
      <c r="AE419" s="435">
        <v>10.17</v>
      </c>
      <c r="AF419" s="456">
        <v>10.14</v>
      </c>
      <c r="AG419" s="414"/>
      <c r="AH419" s="414"/>
    </row>
    <row r="420" spans="22:34">
      <c r="V420" s="4" t="s">
        <v>313</v>
      </c>
      <c r="W420" s="4" t="s">
        <v>960</v>
      </c>
      <c r="X420" s="2"/>
      <c r="Y420" s="432" t="s">
        <v>958</v>
      </c>
      <c r="Z420" s="433">
        <v>0.03</v>
      </c>
      <c r="AA420" s="480" t="s">
        <v>402</v>
      </c>
      <c r="AB420" s="435" t="s">
        <v>1227</v>
      </c>
      <c r="AC420" s="436" t="str">
        <f t="shared" si="6"/>
        <v>奈良県御所市</v>
      </c>
      <c r="AD420" s="457">
        <v>10.210000000000001</v>
      </c>
      <c r="AE420" s="435">
        <v>10.17</v>
      </c>
      <c r="AF420" s="456">
        <v>10.14</v>
      </c>
      <c r="AG420" s="414"/>
      <c r="AH420" s="414"/>
    </row>
    <row r="421" spans="22:34">
      <c r="V421" s="4" t="s">
        <v>313</v>
      </c>
      <c r="W421" s="4" t="s">
        <v>568</v>
      </c>
      <c r="X421" s="2"/>
      <c r="Y421" s="432" t="s">
        <v>958</v>
      </c>
      <c r="Z421" s="433">
        <v>0.03</v>
      </c>
      <c r="AA421" s="480" t="s">
        <v>402</v>
      </c>
      <c r="AB421" s="435" t="s">
        <v>1228</v>
      </c>
      <c r="AC421" s="436" t="str">
        <f t="shared" si="6"/>
        <v>奈良県香芝市</v>
      </c>
      <c r="AD421" s="457">
        <v>10.210000000000001</v>
      </c>
      <c r="AE421" s="435">
        <v>10.17</v>
      </c>
      <c r="AF421" s="456">
        <v>10.14</v>
      </c>
      <c r="AG421" s="414"/>
      <c r="AH421" s="414"/>
    </row>
    <row r="422" spans="22:34">
      <c r="V422" s="4" t="s">
        <v>313</v>
      </c>
      <c r="W422" s="4" t="s">
        <v>962</v>
      </c>
      <c r="X422" s="2"/>
      <c r="Y422" s="432" t="s">
        <v>958</v>
      </c>
      <c r="Z422" s="433">
        <v>0.03</v>
      </c>
      <c r="AA422" s="480" t="s">
        <v>402</v>
      </c>
      <c r="AB422" s="435" t="s">
        <v>1229</v>
      </c>
      <c r="AC422" s="436" t="str">
        <f t="shared" si="6"/>
        <v>奈良県葛城市</v>
      </c>
      <c r="AD422" s="457">
        <v>10.210000000000001</v>
      </c>
      <c r="AE422" s="435">
        <v>10.17</v>
      </c>
      <c r="AF422" s="456">
        <v>10.14</v>
      </c>
      <c r="AG422" s="414"/>
      <c r="AH422" s="414"/>
    </row>
    <row r="423" spans="22:34">
      <c r="V423" s="4" t="s">
        <v>313</v>
      </c>
      <c r="W423" s="4" t="s">
        <v>964</v>
      </c>
      <c r="X423" s="2"/>
      <c r="Y423" s="432" t="s">
        <v>958</v>
      </c>
      <c r="Z423" s="433">
        <v>0.03</v>
      </c>
      <c r="AA423" s="480" t="s">
        <v>402</v>
      </c>
      <c r="AB423" s="435" t="s">
        <v>1230</v>
      </c>
      <c r="AC423" s="436" t="str">
        <f t="shared" si="6"/>
        <v>奈良県宇陀市</v>
      </c>
      <c r="AD423" s="457">
        <v>10.210000000000001</v>
      </c>
      <c r="AE423" s="435">
        <v>10.17</v>
      </c>
      <c r="AF423" s="456">
        <v>10.14</v>
      </c>
      <c r="AG423" s="414"/>
      <c r="AH423" s="414"/>
    </row>
    <row r="424" spans="22:34">
      <c r="V424" s="4" t="s">
        <v>313</v>
      </c>
      <c r="W424" s="4" t="s">
        <v>1231</v>
      </c>
      <c r="X424" s="2"/>
      <c r="Y424" s="432" t="s">
        <v>958</v>
      </c>
      <c r="Z424" s="433">
        <v>0.03</v>
      </c>
      <c r="AA424" s="480" t="s">
        <v>402</v>
      </c>
      <c r="AB424" s="435" t="s">
        <v>1232</v>
      </c>
      <c r="AC424" s="436" t="str">
        <f t="shared" si="6"/>
        <v>奈良県山添村</v>
      </c>
      <c r="AD424" s="457">
        <v>10.210000000000001</v>
      </c>
      <c r="AE424" s="435">
        <v>10.17</v>
      </c>
      <c r="AF424" s="456">
        <v>10.14</v>
      </c>
      <c r="AG424" s="414"/>
      <c r="AH424" s="414"/>
    </row>
    <row r="425" spans="22:34">
      <c r="V425" s="4" t="s">
        <v>313</v>
      </c>
      <c r="W425" s="4" t="s">
        <v>1233</v>
      </c>
      <c r="X425" s="2"/>
      <c r="Y425" s="432" t="s">
        <v>958</v>
      </c>
      <c r="Z425" s="433">
        <v>0.03</v>
      </c>
      <c r="AA425" s="480" t="s">
        <v>402</v>
      </c>
      <c r="AB425" s="435" t="s">
        <v>1234</v>
      </c>
      <c r="AC425" s="436" t="str">
        <f t="shared" si="6"/>
        <v>奈良県平群町</v>
      </c>
      <c r="AD425" s="457">
        <v>10.210000000000001</v>
      </c>
      <c r="AE425" s="435">
        <v>10.17</v>
      </c>
      <c r="AF425" s="456">
        <v>10.14</v>
      </c>
      <c r="AG425" s="414"/>
      <c r="AH425" s="414"/>
    </row>
    <row r="426" spans="22:34">
      <c r="V426" s="4" t="s">
        <v>313</v>
      </c>
      <c r="W426" s="4" t="s">
        <v>1235</v>
      </c>
      <c r="X426" s="2"/>
      <c r="Y426" s="432" t="s">
        <v>958</v>
      </c>
      <c r="Z426" s="433">
        <v>0.03</v>
      </c>
      <c r="AA426" s="480" t="s">
        <v>402</v>
      </c>
      <c r="AB426" s="435" t="s">
        <v>1236</v>
      </c>
      <c r="AC426" s="436" t="str">
        <f t="shared" si="6"/>
        <v>奈良県三郷町</v>
      </c>
      <c r="AD426" s="457">
        <v>10.210000000000001</v>
      </c>
      <c r="AE426" s="435">
        <v>10.17</v>
      </c>
      <c r="AF426" s="456">
        <v>10.14</v>
      </c>
      <c r="AG426" s="414"/>
      <c r="AH426" s="414"/>
    </row>
    <row r="427" spans="22:34">
      <c r="V427" s="4" t="s">
        <v>313</v>
      </c>
      <c r="W427" s="4" t="s">
        <v>966</v>
      </c>
      <c r="X427" s="2"/>
      <c r="Y427" s="432" t="s">
        <v>958</v>
      </c>
      <c r="Z427" s="433">
        <v>0.03</v>
      </c>
      <c r="AA427" s="480" t="s">
        <v>402</v>
      </c>
      <c r="AB427" s="435" t="s">
        <v>1237</v>
      </c>
      <c r="AC427" s="436" t="str">
        <f t="shared" si="6"/>
        <v>奈良県斑鳩町</v>
      </c>
      <c r="AD427" s="457">
        <v>10.210000000000001</v>
      </c>
      <c r="AE427" s="435">
        <v>10.17</v>
      </c>
      <c r="AF427" s="456">
        <v>10.14</v>
      </c>
      <c r="AG427" s="414"/>
      <c r="AH427" s="414"/>
    </row>
    <row r="428" spans="22:34">
      <c r="V428" s="4" t="s">
        <v>313</v>
      </c>
      <c r="W428" s="4" t="s">
        <v>570</v>
      </c>
      <c r="X428" s="2"/>
      <c r="Y428" s="432" t="s">
        <v>958</v>
      </c>
      <c r="Z428" s="433">
        <v>0.03</v>
      </c>
      <c r="AA428" s="480" t="s">
        <v>402</v>
      </c>
      <c r="AB428" s="435" t="s">
        <v>1238</v>
      </c>
      <c r="AC428" s="436" t="str">
        <f t="shared" si="6"/>
        <v>奈良県安堵町</v>
      </c>
      <c r="AD428" s="457">
        <v>10.210000000000001</v>
      </c>
      <c r="AE428" s="435">
        <v>10.17</v>
      </c>
      <c r="AF428" s="456">
        <v>10.14</v>
      </c>
      <c r="AG428" s="414"/>
      <c r="AH428" s="414"/>
    </row>
    <row r="429" spans="22:34">
      <c r="V429" s="4" t="s">
        <v>313</v>
      </c>
      <c r="W429" s="4" t="s">
        <v>515</v>
      </c>
      <c r="X429" s="2"/>
      <c r="Y429" s="432" t="s">
        <v>958</v>
      </c>
      <c r="Z429" s="433">
        <v>0.03</v>
      </c>
      <c r="AA429" s="480" t="s">
        <v>402</v>
      </c>
      <c r="AB429" s="435" t="s">
        <v>1239</v>
      </c>
      <c r="AC429" s="436" t="str">
        <f t="shared" si="6"/>
        <v>奈良県川西町</v>
      </c>
      <c r="AD429" s="457">
        <v>10.210000000000001</v>
      </c>
      <c r="AE429" s="435">
        <v>10.17</v>
      </c>
      <c r="AF429" s="456">
        <v>10.14</v>
      </c>
      <c r="AG429" s="414"/>
      <c r="AH429" s="414"/>
    </row>
    <row r="430" spans="22:34">
      <c r="V430" s="4" t="s">
        <v>313</v>
      </c>
      <c r="W430" s="4" t="s">
        <v>572</v>
      </c>
      <c r="X430" s="2"/>
      <c r="Y430" s="432" t="s">
        <v>958</v>
      </c>
      <c r="Z430" s="433">
        <v>0.03</v>
      </c>
      <c r="AA430" s="480" t="s">
        <v>402</v>
      </c>
      <c r="AB430" s="435" t="s">
        <v>1240</v>
      </c>
      <c r="AC430" s="436" t="str">
        <f t="shared" si="6"/>
        <v>奈良県三宅町</v>
      </c>
      <c r="AD430" s="457">
        <v>10.210000000000001</v>
      </c>
      <c r="AE430" s="435">
        <v>10.17</v>
      </c>
      <c r="AF430" s="456">
        <v>10.14</v>
      </c>
      <c r="AG430" s="414"/>
      <c r="AH430" s="414"/>
    </row>
    <row r="431" spans="22:34">
      <c r="V431" s="4" t="s">
        <v>313</v>
      </c>
      <c r="W431" s="4" t="s">
        <v>968</v>
      </c>
      <c r="X431" s="2"/>
      <c r="Y431" s="432" t="s">
        <v>958</v>
      </c>
      <c r="Z431" s="433">
        <v>0.03</v>
      </c>
      <c r="AA431" s="480" t="s">
        <v>402</v>
      </c>
      <c r="AB431" s="435" t="s">
        <v>1241</v>
      </c>
      <c r="AC431" s="436" t="str">
        <f t="shared" si="6"/>
        <v>奈良県田原本町</v>
      </c>
      <c r="AD431" s="457">
        <v>10.210000000000001</v>
      </c>
      <c r="AE431" s="435">
        <v>10.17</v>
      </c>
      <c r="AF431" s="456">
        <v>10.14</v>
      </c>
      <c r="AG431" s="414"/>
      <c r="AH431" s="414"/>
    </row>
    <row r="432" spans="22:34">
      <c r="V432" s="4" t="s">
        <v>313</v>
      </c>
      <c r="W432" s="4" t="s">
        <v>1242</v>
      </c>
      <c r="X432" s="2"/>
      <c r="Y432" s="432" t="s">
        <v>958</v>
      </c>
      <c r="Z432" s="433">
        <v>0.03</v>
      </c>
      <c r="AA432" s="480" t="s">
        <v>402</v>
      </c>
      <c r="AB432" s="435" t="s">
        <v>1243</v>
      </c>
      <c r="AC432" s="436" t="str">
        <f t="shared" si="6"/>
        <v>奈良県曽爾村</v>
      </c>
      <c r="AD432" s="457">
        <v>10.210000000000001</v>
      </c>
      <c r="AE432" s="435">
        <v>10.17</v>
      </c>
      <c r="AF432" s="456">
        <v>10.14</v>
      </c>
      <c r="AG432" s="414"/>
      <c r="AH432" s="414"/>
    </row>
    <row r="433" spans="22:34">
      <c r="V433" s="4" t="s">
        <v>313</v>
      </c>
      <c r="W433" s="4" t="s">
        <v>1244</v>
      </c>
      <c r="X433" s="2"/>
      <c r="Y433" s="432" t="s">
        <v>958</v>
      </c>
      <c r="Z433" s="433">
        <v>0.03</v>
      </c>
      <c r="AA433" s="480" t="s">
        <v>402</v>
      </c>
      <c r="AB433" s="435" t="s">
        <v>1245</v>
      </c>
      <c r="AC433" s="436" t="str">
        <f t="shared" si="6"/>
        <v>奈良県明日香村</v>
      </c>
      <c r="AD433" s="457">
        <v>10.210000000000001</v>
      </c>
      <c r="AE433" s="435">
        <v>10.17</v>
      </c>
      <c r="AF433" s="456">
        <v>10.14</v>
      </c>
      <c r="AG433" s="414"/>
      <c r="AH433" s="414"/>
    </row>
    <row r="434" spans="22:34">
      <c r="V434" s="4" t="s">
        <v>313</v>
      </c>
      <c r="W434" s="4" t="s">
        <v>574</v>
      </c>
      <c r="X434" s="2"/>
      <c r="Y434" s="432" t="s">
        <v>958</v>
      </c>
      <c r="Z434" s="433">
        <v>0.03</v>
      </c>
      <c r="AA434" s="480" t="s">
        <v>402</v>
      </c>
      <c r="AB434" s="435" t="s">
        <v>1246</v>
      </c>
      <c r="AC434" s="436" t="str">
        <f t="shared" si="6"/>
        <v>奈良県上牧町</v>
      </c>
      <c r="AD434" s="457">
        <v>10.210000000000001</v>
      </c>
      <c r="AE434" s="435">
        <v>10.17</v>
      </c>
      <c r="AF434" s="456">
        <v>10.14</v>
      </c>
      <c r="AG434" s="414"/>
      <c r="AH434" s="414"/>
    </row>
    <row r="435" spans="22:34">
      <c r="V435" s="4" t="s">
        <v>313</v>
      </c>
      <c r="W435" s="4" t="s">
        <v>1247</v>
      </c>
      <c r="X435" s="2"/>
      <c r="Y435" s="432" t="s">
        <v>958</v>
      </c>
      <c r="Z435" s="433">
        <v>0.03</v>
      </c>
      <c r="AA435" s="480" t="s">
        <v>402</v>
      </c>
      <c r="AB435" s="435" t="s">
        <v>1248</v>
      </c>
      <c r="AC435" s="436" t="str">
        <f t="shared" si="6"/>
        <v>奈良県王寺町</v>
      </c>
      <c r="AD435" s="457">
        <v>10.210000000000001</v>
      </c>
      <c r="AE435" s="435">
        <v>10.17</v>
      </c>
      <c r="AF435" s="456">
        <v>10.14</v>
      </c>
      <c r="AG435" s="414"/>
      <c r="AH435" s="414"/>
    </row>
    <row r="436" spans="22:34">
      <c r="V436" s="4" t="s">
        <v>313</v>
      </c>
      <c r="W436" s="4" t="s">
        <v>970</v>
      </c>
      <c r="X436" s="2"/>
      <c r="Y436" s="432" t="s">
        <v>958</v>
      </c>
      <c r="Z436" s="433">
        <v>0.03</v>
      </c>
      <c r="AA436" s="480" t="s">
        <v>402</v>
      </c>
      <c r="AB436" s="435" t="s">
        <v>1249</v>
      </c>
      <c r="AC436" s="436" t="str">
        <f t="shared" si="6"/>
        <v>奈良県広陵町</v>
      </c>
      <c r="AD436" s="457">
        <v>10.210000000000001</v>
      </c>
      <c r="AE436" s="435">
        <v>10.17</v>
      </c>
      <c r="AF436" s="456">
        <v>10.14</v>
      </c>
      <c r="AG436" s="414"/>
      <c r="AH436" s="414"/>
    </row>
    <row r="437" spans="22:34">
      <c r="V437" s="4" t="s">
        <v>313</v>
      </c>
      <c r="W437" s="4" t="s">
        <v>972</v>
      </c>
      <c r="X437" s="2"/>
      <c r="Y437" s="432" t="s">
        <v>958</v>
      </c>
      <c r="Z437" s="433">
        <v>0.03</v>
      </c>
      <c r="AA437" s="480" t="s">
        <v>402</v>
      </c>
      <c r="AB437" s="435" t="s">
        <v>1250</v>
      </c>
      <c r="AC437" s="436" t="str">
        <f t="shared" si="6"/>
        <v>奈良県河合町</v>
      </c>
      <c r="AD437" s="457">
        <v>10.210000000000001</v>
      </c>
      <c r="AE437" s="435">
        <v>10.17</v>
      </c>
      <c r="AF437" s="456">
        <v>10.14</v>
      </c>
      <c r="AG437" s="414"/>
      <c r="AH437" s="414"/>
    </row>
    <row r="438" spans="22:34">
      <c r="V438" s="4" t="s">
        <v>313</v>
      </c>
      <c r="W438" s="4" t="s">
        <v>974</v>
      </c>
      <c r="X438" s="2"/>
      <c r="Y438" s="432" t="s">
        <v>958</v>
      </c>
      <c r="Z438" s="433">
        <v>0.03</v>
      </c>
      <c r="AA438" s="480" t="s">
        <v>422</v>
      </c>
      <c r="AB438" s="435" t="s">
        <v>1251</v>
      </c>
      <c r="AC438" s="436" t="str">
        <f t="shared" si="6"/>
        <v>岡山県岡山市</v>
      </c>
      <c r="AD438" s="457">
        <v>10.210000000000001</v>
      </c>
      <c r="AE438" s="435">
        <v>10.17</v>
      </c>
      <c r="AF438" s="456">
        <v>10.14</v>
      </c>
      <c r="AG438" s="414"/>
      <c r="AH438" s="414"/>
    </row>
    <row r="439" spans="22:34">
      <c r="V439" s="4" t="s">
        <v>313</v>
      </c>
      <c r="W439" s="4" t="s">
        <v>976</v>
      </c>
      <c r="X439" s="2"/>
      <c r="Y439" s="432" t="s">
        <v>958</v>
      </c>
      <c r="Z439" s="433">
        <v>0.03</v>
      </c>
      <c r="AA439" s="480" t="s">
        <v>426</v>
      </c>
      <c r="AB439" s="435" t="s">
        <v>1252</v>
      </c>
      <c r="AC439" s="436" t="str">
        <f t="shared" si="6"/>
        <v>広島県東広島市</v>
      </c>
      <c r="AD439" s="457">
        <v>10.210000000000001</v>
      </c>
      <c r="AE439" s="435">
        <v>10.17</v>
      </c>
      <c r="AF439" s="456">
        <v>10.14</v>
      </c>
      <c r="AG439" s="414"/>
      <c r="AH439" s="414"/>
    </row>
    <row r="440" spans="22:34">
      <c r="V440" s="4" t="s">
        <v>313</v>
      </c>
      <c r="W440" s="4" t="s">
        <v>1253</v>
      </c>
      <c r="X440" s="2"/>
      <c r="Y440" s="432" t="s">
        <v>958</v>
      </c>
      <c r="Z440" s="433">
        <v>0.03</v>
      </c>
      <c r="AA440" s="480" t="s">
        <v>426</v>
      </c>
      <c r="AB440" s="435" t="s">
        <v>1254</v>
      </c>
      <c r="AC440" s="436" t="str">
        <f t="shared" si="6"/>
        <v>広島県廿日市市</v>
      </c>
      <c r="AD440" s="457">
        <v>10.210000000000001</v>
      </c>
      <c r="AE440" s="435">
        <v>10.17</v>
      </c>
      <c r="AF440" s="456">
        <v>10.14</v>
      </c>
      <c r="AG440" s="414"/>
      <c r="AH440" s="414"/>
    </row>
    <row r="441" spans="22:34">
      <c r="V441" s="4" t="s">
        <v>313</v>
      </c>
      <c r="W441" s="4" t="s">
        <v>1255</v>
      </c>
      <c r="X441" s="2"/>
      <c r="Y441" s="432" t="s">
        <v>958</v>
      </c>
      <c r="Z441" s="433">
        <v>0.03</v>
      </c>
      <c r="AA441" s="480" t="s">
        <v>426</v>
      </c>
      <c r="AB441" s="435" t="s">
        <v>1256</v>
      </c>
      <c r="AC441" s="436" t="str">
        <f t="shared" si="6"/>
        <v>広島県海田町</v>
      </c>
      <c r="AD441" s="457">
        <v>10.210000000000001</v>
      </c>
      <c r="AE441" s="435">
        <v>10.17</v>
      </c>
      <c r="AF441" s="456">
        <v>10.14</v>
      </c>
      <c r="AG441" s="414"/>
      <c r="AH441" s="414"/>
    </row>
    <row r="442" spans="22:34">
      <c r="V442" s="4" t="s">
        <v>313</v>
      </c>
      <c r="W442" s="4" t="s">
        <v>1257</v>
      </c>
      <c r="X442" s="2"/>
      <c r="Y442" s="432" t="s">
        <v>958</v>
      </c>
      <c r="Z442" s="433">
        <v>0.03</v>
      </c>
      <c r="AA442" s="480" t="s">
        <v>426</v>
      </c>
      <c r="AB442" s="435" t="s">
        <v>1258</v>
      </c>
      <c r="AC442" s="436" t="str">
        <f t="shared" si="6"/>
        <v>広島県熊野町</v>
      </c>
      <c r="AD442" s="457">
        <v>10.210000000000001</v>
      </c>
      <c r="AE442" s="435">
        <v>10.17</v>
      </c>
      <c r="AF442" s="456">
        <v>10.14</v>
      </c>
      <c r="AG442" s="414"/>
      <c r="AH442" s="414"/>
    </row>
    <row r="443" spans="22:34">
      <c r="V443" s="4" t="s">
        <v>313</v>
      </c>
      <c r="W443" s="4" t="s">
        <v>1259</v>
      </c>
      <c r="X443" s="2"/>
      <c r="Y443" s="432" t="s">
        <v>958</v>
      </c>
      <c r="Z443" s="433">
        <v>0.03</v>
      </c>
      <c r="AA443" s="480" t="s">
        <v>426</v>
      </c>
      <c r="AB443" s="435" t="s">
        <v>1260</v>
      </c>
      <c r="AC443" s="436" t="str">
        <f t="shared" si="6"/>
        <v>広島県坂町</v>
      </c>
      <c r="AD443" s="457">
        <v>10.210000000000001</v>
      </c>
      <c r="AE443" s="435">
        <v>10.17</v>
      </c>
      <c r="AF443" s="456">
        <v>10.14</v>
      </c>
      <c r="AG443" s="414"/>
      <c r="AH443" s="414"/>
    </row>
    <row r="444" spans="22:34">
      <c r="V444" s="4" t="s">
        <v>313</v>
      </c>
      <c r="W444" s="4" t="s">
        <v>1261</v>
      </c>
      <c r="X444" s="2"/>
      <c r="Y444" s="432" t="s">
        <v>958</v>
      </c>
      <c r="Z444" s="433">
        <v>0.03</v>
      </c>
      <c r="AA444" s="480" t="s">
        <v>430</v>
      </c>
      <c r="AB444" s="435" t="s">
        <v>1262</v>
      </c>
      <c r="AC444" s="436" t="str">
        <f t="shared" si="6"/>
        <v>山口県周南市</v>
      </c>
      <c r="AD444" s="457">
        <v>10.210000000000001</v>
      </c>
      <c r="AE444" s="435">
        <v>10.17</v>
      </c>
      <c r="AF444" s="456">
        <v>10.14</v>
      </c>
      <c r="AG444" s="414"/>
      <c r="AH444" s="414"/>
    </row>
    <row r="445" spans="22:34">
      <c r="V445" s="4" t="s">
        <v>313</v>
      </c>
      <c r="W445" s="4" t="s">
        <v>978</v>
      </c>
      <c r="X445" s="2"/>
      <c r="Y445" s="432" t="s">
        <v>958</v>
      </c>
      <c r="Z445" s="433">
        <v>0.03</v>
      </c>
      <c r="AA445" s="480" t="s">
        <v>434</v>
      </c>
      <c r="AB445" s="435" t="s">
        <v>1263</v>
      </c>
      <c r="AC445" s="436" t="str">
        <f t="shared" si="6"/>
        <v>徳島県徳島市</v>
      </c>
      <c r="AD445" s="457">
        <v>10.210000000000001</v>
      </c>
      <c r="AE445" s="435">
        <v>10.17</v>
      </c>
      <c r="AF445" s="456">
        <v>10.14</v>
      </c>
      <c r="AG445" s="414"/>
      <c r="AH445" s="414"/>
    </row>
    <row r="446" spans="22:34">
      <c r="V446" s="4" t="s">
        <v>313</v>
      </c>
      <c r="W446" s="4" t="s">
        <v>1264</v>
      </c>
      <c r="X446" s="2"/>
      <c r="Y446" s="432" t="s">
        <v>958</v>
      </c>
      <c r="Z446" s="433">
        <v>0.03</v>
      </c>
      <c r="AA446" s="480" t="s">
        <v>438</v>
      </c>
      <c r="AB446" s="435" t="s">
        <v>1265</v>
      </c>
      <c r="AC446" s="436" t="str">
        <f t="shared" si="6"/>
        <v>香川県高松市</v>
      </c>
      <c r="AD446" s="457">
        <v>10.210000000000001</v>
      </c>
      <c r="AE446" s="435">
        <v>10.17</v>
      </c>
      <c r="AF446" s="456">
        <v>10.14</v>
      </c>
      <c r="AG446" s="414"/>
      <c r="AH446" s="414"/>
    </row>
    <row r="447" spans="22:34">
      <c r="V447" s="4" t="s">
        <v>313</v>
      </c>
      <c r="W447" s="4" t="s">
        <v>1266</v>
      </c>
      <c r="X447" s="2"/>
      <c r="Y447" s="432" t="s">
        <v>958</v>
      </c>
      <c r="Z447" s="433">
        <v>0.03</v>
      </c>
      <c r="AA447" s="480" t="s">
        <v>451</v>
      </c>
      <c r="AB447" s="435" t="s">
        <v>1267</v>
      </c>
      <c r="AC447" s="436" t="str">
        <f t="shared" si="6"/>
        <v>福岡県北九州市</v>
      </c>
      <c r="AD447" s="457">
        <v>10.210000000000001</v>
      </c>
      <c r="AE447" s="435">
        <v>10.17</v>
      </c>
      <c r="AF447" s="456">
        <v>10.14</v>
      </c>
      <c r="AG447" s="414"/>
      <c r="AH447" s="414"/>
    </row>
    <row r="448" spans="22:34">
      <c r="V448" s="4" t="s">
        <v>313</v>
      </c>
      <c r="W448" s="4" t="s">
        <v>980</v>
      </c>
      <c r="X448" s="2"/>
      <c r="Y448" s="432" t="s">
        <v>958</v>
      </c>
      <c r="Z448" s="433">
        <v>0.03</v>
      </c>
      <c r="AA448" s="480" t="s">
        <v>451</v>
      </c>
      <c r="AB448" s="435" t="s">
        <v>1268</v>
      </c>
      <c r="AC448" s="436" t="str">
        <f t="shared" si="6"/>
        <v>福岡県飯塚市</v>
      </c>
      <c r="AD448" s="457">
        <v>10.210000000000001</v>
      </c>
      <c r="AE448" s="435">
        <v>10.17</v>
      </c>
      <c r="AF448" s="456">
        <v>10.14</v>
      </c>
      <c r="AG448" s="414"/>
      <c r="AH448" s="414"/>
    </row>
    <row r="449" spans="22:34">
      <c r="V449" s="4" t="s">
        <v>313</v>
      </c>
      <c r="W449" s="4" t="s">
        <v>1269</v>
      </c>
      <c r="X449" s="2"/>
      <c r="Y449" s="432" t="s">
        <v>958</v>
      </c>
      <c r="Z449" s="433">
        <v>0.03</v>
      </c>
      <c r="AA449" s="480" t="s">
        <v>451</v>
      </c>
      <c r="AB449" s="435" t="s">
        <v>1270</v>
      </c>
      <c r="AC449" s="436" t="str">
        <f t="shared" si="6"/>
        <v>福岡県筑紫野市</v>
      </c>
      <c r="AD449" s="457">
        <v>10.210000000000001</v>
      </c>
      <c r="AE449" s="435">
        <v>10.17</v>
      </c>
      <c r="AF449" s="456">
        <v>10.14</v>
      </c>
      <c r="AG449" s="414"/>
      <c r="AH449" s="414"/>
    </row>
    <row r="450" spans="22:34">
      <c r="V450" s="4" t="s">
        <v>313</v>
      </c>
      <c r="W450" s="4" t="s">
        <v>1271</v>
      </c>
      <c r="X450" s="2"/>
      <c r="Y450" s="432" t="s">
        <v>958</v>
      </c>
      <c r="Z450" s="433">
        <v>0.03</v>
      </c>
      <c r="AA450" s="480" t="s">
        <v>451</v>
      </c>
      <c r="AB450" s="435" t="s">
        <v>1272</v>
      </c>
      <c r="AC450" s="436" t="str">
        <f t="shared" si="6"/>
        <v>福岡県古賀市</v>
      </c>
      <c r="AD450" s="457">
        <v>10.210000000000001</v>
      </c>
      <c r="AE450" s="435">
        <v>10.17</v>
      </c>
      <c r="AF450" s="456">
        <v>10.14</v>
      </c>
      <c r="AG450" s="414"/>
      <c r="AH450" s="414"/>
    </row>
    <row r="451" spans="22:34" ht="14.25" thickBot="1">
      <c r="V451" s="4" t="s">
        <v>313</v>
      </c>
      <c r="W451" s="4" t="s">
        <v>1273</v>
      </c>
      <c r="X451" s="2"/>
      <c r="Y451" s="441" t="s">
        <v>958</v>
      </c>
      <c r="Z451" s="442">
        <v>0.03</v>
      </c>
      <c r="AA451" s="481" t="s">
        <v>459</v>
      </c>
      <c r="AB451" s="444" t="s">
        <v>1274</v>
      </c>
      <c r="AC451" s="445" t="str">
        <f t="shared" si="6"/>
        <v>長崎県長崎市</v>
      </c>
      <c r="AD451" s="463">
        <v>10.210000000000001</v>
      </c>
      <c r="AE451" s="444">
        <v>10.17</v>
      </c>
      <c r="AF451" s="464">
        <v>10.14</v>
      </c>
      <c r="AG451" s="414"/>
      <c r="AH451" s="414"/>
    </row>
    <row r="452" spans="22:34" ht="14.25" thickBot="1">
      <c r="V452" s="4" t="s">
        <v>313</v>
      </c>
      <c r="W452" s="4" t="s">
        <v>1275</v>
      </c>
      <c r="X452" s="2"/>
      <c r="Y452" s="415" t="s">
        <v>1276</v>
      </c>
      <c r="Z452" s="482">
        <v>0</v>
      </c>
      <c r="AA452" s="483"/>
      <c r="AB452" s="484"/>
      <c r="AC452" s="419" t="str">
        <f t="shared" ref="AC452" si="7">AA452&amp;AB452</f>
        <v/>
      </c>
      <c r="AD452" s="415" t="str">
        <f t="shared" ref="AD452" si="8">AA452&amp;AB452</f>
        <v/>
      </c>
      <c r="AE452" s="485"/>
      <c r="AF452" s="486"/>
      <c r="AG452" s="414"/>
      <c r="AH452" s="414"/>
    </row>
    <row r="453" spans="22:34">
      <c r="V453" s="4" t="s">
        <v>313</v>
      </c>
      <c r="W453" s="4" t="s">
        <v>982</v>
      </c>
      <c r="X453" s="2"/>
      <c r="Z453"/>
      <c r="AA453"/>
      <c r="AB453"/>
      <c r="AD453"/>
      <c r="AE453" s="7"/>
      <c r="AF453" s="7"/>
      <c r="AG453" s="1"/>
    </row>
    <row r="454" spans="22:34">
      <c r="V454" s="4" t="s">
        <v>313</v>
      </c>
      <c r="W454" s="4" t="s">
        <v>984</v>
      </c>
      <c r="X454" s="2"/>
      <c r="Z454"/>
      <c r="AA454"/>
      <c r="AB454"/>
      <c r="AD454"/>
      <c r="AE454" s="7"/>
      <c r="AF454" s="7"/>
      <c r="AG454" s="1"/>
    </row>
    <row r="455" spans="22:34">
      <c r="V455" s="4" t="s">
        <v>313</v>
      </c>
      <c r="W455" s="4" t="s">
        <v>986</v>
      </c>
      <c r="X455" s="2"/>
      <c r="Z455"/>
      <c r="AA455"/>
      <c r="AB455"/>
      <c r="AD455"/>
      <c r="AE455" s="7"/>
      <c r="AF455" s="7"/>
      <c r="AG455" s="1"/>
    </row>
    <row r="456" spans="22:34">
      <c r="V456" s="4" t="s">
        <v>313</v>
      </c>
      <c r="W456" s="4" t="s">
        <v>988</v>
      </c>
      <c r="X456" s="2"/>
      <c r="Z456"/>
      <c r="AA456"/>
      <c r="AB456"/>
      <c r="AD456"/>
      <c r="AE456" s="7"/>
      <c r="AF456" s="7"/>
      <c r="AG456" s="1"/>
    </row>
    <row r="457" spans="22:34">
      <c r="V457" s="4" t="s">
        <v>313</v>
      </c>
      <c r="W457" s="4" t="s">
        <v>990</v>
      </c>
      <c r="X457" s="2"/>
      <c r="Z457"/>
      <c r="AA457"/>
      <c r="AB457"/>
      <c r="AD457"/>
      <c r="AE457" s="7"/>
      <c r="AF457" s="7"/>
      <c r="AG457" s="1"/>
    </row>
    <row r="458" spans="22:34">
      <c r="V458" s="4" t="s">
        <v>313</v>
      </c>
      <c r="W458" s="4" t="s">
        <v>693</v>
      </c>
      <c r="X458" s="2"/>
      <c r="Z458"/>
      <c r="AA458"/>
      <c r="AB458"/>
      <c r="AD458"/>
      <c r="AE458" s="7"/>
      <c r="AF458" s="7"/>
      <c r="AG458" s="1"/>
    </row>
    <row r="459" spans="22:34">
      <c r="V459" s="4" t="s">
        <v>317</v>
      </c>
      <c r="W459" s="4" t="s">
        <v>695</v>
      </c>
      <c r="X459" s="2"/>
      <c r="Z459"/>
      <c r="AA459"/>
      <c r="AB459"/>
      <c r="AD459"/>
      <c r="AE459" s="7"/>
      <c r="AF459" s="7"/>
      <c r="AG459" s="1"/>
    </row>
    <row r="460" spans="22:34">
      <c r="V460" s="4" t="s">
        <v>317</v>
      </c>
      <c r="W460" s="4" t="s">
        <v>1277</v>
      </c>
      <c r="X460" s="2"/>
      <c r="Z460"/>
      <c r="AA460"/>
      <c r="AB460"/>
      <c r="AD460"/>
      <c r="AE460" s="7"/>
      <c r="AF460" s="7"/>
      <c r="AG460" s="1"/>
    </row>
    <row r="461" spans="22:34">
      <c r="V461" s="4" t="s">
        <v>317</v>
      </c>
      <c r="W461" s="4" t="s">
        <v>992</v>
      </c>
      <c r="X461" s="2"/>
      <c r="Z461"/>
      <c r="AA461"/>
      <c r="AB461"/>
      <c r="AD461"/>
      <c r="AE461" s="7"/>
      <c r="AF461" s="7"/>
      <c r="AG461" s="1"/>
    </row>
    <row r="462" spans="22:34">
      <c r="V462" s="4" t="s">
        <v>317</v>
      </c>
      <c r="W462" s="4" t="s">
        <v>1278</v>
      </c>
      <c r="X462" s="2"/>
      <c r="Z462"/>
      <c r="AA462"/>
      <c r="AB462"/>
      <c r="AD462"/>
      <c r="AE462" s="7"/>
      <c r="AF462" s="7"/>
      <c r="AG462" s="1"/>
    </row>
    <row r="463" spans="22:34">
      <c r="V463" s="4" t="s">
        <v>317</v>
      </c>
      <c r="W463" s="4" t="s">
        <v>994</v>
      </c>
      <c r="X463" s="2"/>
      <c r="Z463"/>
      <c r="AA463"/>
      <c r="AB463"/>
      <c r="AD463"/>
      <c r="AE463" s="7"/>
      <c r="AF463" s="7"/>
      <c r="AG463" s="1"/>
    </row>
    <row r="464" spans="22:34">
      <c r="V464" s="4" t="s">
        <v>317</v>
      </c>
      <c r="W464" s="4" t="s">
        <v>996</v>
      </c>
      <c r="X464" s="2"/>
      <c r="Z464"/>
      <c r="AA464"/>
      <c r="AB464"/>
      <c r="AD464"/>
      <c r="AE464" s="7"/>
      <c r="AF464" s="7"/>
      <c r="AG464" s="1"/>
    </row>
    <row r="465" spans="22:23">
      <c r="V465" s="4" t="s">
        <v>317</v>
      </c>
      <c r="W465" s="4" t="s">
        <v>998</v>
      </c>
    </row>
    <row r="466" spans="22:23">
      <c r="V466" s="4" t="s">
        <v>317</v>
      </c>
      <c r="W466" s="4" t="s">
        <v>1000</v>
      </c>
    </row>
    <row r="467" spans="22:23">
      <c r="V467" s="4" t="s">
        <v>317</v>
      </c>
      <c r="W467" s="4" t="s">
        <v>1002</v>
      </c>
    </row>
    <row r="468" spans="22:23">
      <c r="V468" s="4" t="s">
        <v>317</v>
      </c>
      <c r="W468" s="4" t="s">
        <v>1279</v>
      </c>
    </row>
    <row r="469" spans="22:23">
      <c r="V469" s="4" t="s">
        <v>317</v>
      </c>
      <c r="W469" s="4" t="s">
        <v>1280</v>
      </c>
    </row>
    <row r="470" spans="22:23">
      <c r="V470" s="4" t="s">
        <v>317</v>
      </c>
      <c r="W470" s="4" t="s">
        <v>1004</v>
      </c>
    </row>
    <row r="471" spans="22:23">
      <c r="V471" s="4" t="s">
        <v>317</v>
      </c>
      <c r="W471" s="4" t="s">
        <v>1281</v>
      </c>
    </row>
    <row r="472" spans="22:23">
      <c r="V472" s="4" t="s">
        <v>317</v>
      </c>
      <c r="W472" s="4" t="s">
        <v>1006</v>
      </c>
    </row>
    <row r="473" spans="22:23">
      <c r="V473" s="4" t="s">
        <v>317</v>
      </c>
      <c r="W473" s="4" t="s">
        <v>1282</v>
      </c>
    </row>
    <row r="474" spans="22:23">
      <c r="V474" s="4" t="s">
        <v>317</v>
      </c>
      <c r="W474" s="4" t="s">
        <v>1283</v>
      </c>
    </row>
    <row r="475" spans="22:23">
      <c r="V475" s="4" t="s">
        <v>317</v>
      </c>
      <c r="W475" s="4" t="s">
        <v>1284</v>
      </c>
    </row>
    <row r="476" spans="22:23">
      <c r="V476" s="4" t="s">
        <v>317</v>
      </c>
      <c r="W476" s="4" t="s">
        <v>1285</v>
      </c>
    </row>
    <row r="477" spans="22:23">
      <c r="V477" s="4" t="s">
        <v>317</v>
      </c>
      <c r="W477" s="4" t="s">
        <v>1286</v>
      </c>
    </row>
    <row r="478" spans="22:23">
      <c r="V478" s="4" t="s">
        <v>317</v>
      </c>
      <c r="W478" s="4" t="s">
        <v>1008</v>
      </c>
    </row>
    <row r="479" spans="22:23">
      <c r="V479" s="4" t="s">
        <v>317</v>
      </c>
      <c r="W479" s="4" t="s">
        <v>697</v>
      </c>
    </row>
    <row r="480" spans="22:23">
      <c r="V480" s="4" t="s">
        <v>317</v>
      </c>
      <c r="W480" s="4" t="s">
        <v>1287</v>
      </c>
    </row>
    <row r="481" spans="22:23">
      <c r="V481" s="4" t="s">
        <v>317</v>
      </c>
      <c r="W481" s="4" t="s">
        <v>1288</v>
      </c>
    </row>
    <row r="482" spans="22:23">
      <c r="V482" s="4" t="s">
        <v>317</v>
      </c>
      <c r="W482" s="4" t="s">
        <v>1289</v>
      </c>
    </row>
    <row r="483" spans="22:23">
      <c r="V483" s="4" t="s">
        <v>317</v>
      </c>
      <c r="W483" s="4" t="s">
        <v>1290</v>
      </c>
    </row>
    <row r="484" spans="22:23">
      <c r="V484" s="4" t="s">
        <v>321</v>
      </c>
      <c r="W484" s="4" t="s">
        <v>1010</v>
      </c>
    </row>
    <row r="485" spans="22:23">
      <c r="V485" s="4" t="s">
        <v>321</v>
      </c>
      <c r="W485" s="4" t="s">
        <v>699</v>
      </c>
    </row>
    <row r="486" spans="22:23">
      <c r="V486" s="4" t="s">
        <v>321</v>
      </c>
      <c r="W486" s="4" t="s">
        <v>1291</v>
      </c>
    </row>
    <row r="487" spans="22:23">
      <c r="V487" s="4" t="s">
        <v>321</v>
      </c>
      <c r="W487" s="4" t="s">
        <v>1012</v>
      </c>
    </row>
    <row r="488" spans="22:23">
      <c r="V488" s="4" t="s">
        <v>321</v>
      </c>
      <c r="W488" s="4" t="s">
        <v>1014</v>
      </c>
    </row>
    <row r="489" spans="22:23">
      <c r="V489" s="4" t="s">
        <v>321</v>
      </c>
      <c r="W489" s="4" t="s">
        <v>1292</v>
      </c>
    </row>
    <row r="490" spans="22:23">
      <c r="V490" s="4" t="s">
        <v>321</v>
      </c>
      <c r="W490" s="4" t="s">
        <v>1293</v>
      </c>
    </row>
    <row r="491" spans="22:23">
      <c r="V491" s="4" t="s">
        <v>321</v>
      </c>
      <c r="W491" s="4" t="s">
        <v>1016</v>
      </c>
    </row>
    <row r="492" spans="22:23">
      <c r="V492" s="4" t="s">
        <v>321</v>
      </c>
      <c r="W492" s="4" t="s">
        <v>1294</v>
      </c>
    </row>
    <row r="493" spans="22:23">
      <c r="V493" s="4" t="s">
        <v>321</v>
      </c>
      <c r="W493" s="4" t="s">
        <v>1295</v>
      </c>
    </row>
    <row r="494" spans="22:23">
      <c r="V494" s="4" t="s">
        <v>321</v>
      </c>
      <c r="W494" s="4" t="s">
        <v>1296</v>
      </c>
    </row>
    <row r="495" spans="22:23">
      <c r="V495" s="4" t="s">
        <v>321</v>
      </c>
      <c r="W495" s="4" t="s">
        <v>1297</v>
      </c>
    </row>
    <row r="496" spans="22:23">
      <c r="V496" s="4" t="s">
        <v>321</v>
      </c>
      <c r="W496" s="4" t="s">
        <v>1298</v>
      </c>
    </row>
    <row r="497" spans="22:23">
      <c r="V497" s="4" t="s">
        <v>321</v>
      </c>
      <c r="W497" s="4" t="s">
        <v>1299</v>
      </c>
    </row>
    <row r="498" spans="22:23">
      <c r="V498" s="4" t="s">
        <v>321</v>
      </c>
      <c r="W498" s="4" t="s">
        <v>1300</v>
      </c>
    </row>
    <row r="499" spans="22:23">
      <c r="V499" s="4" t="s">
        <v>321</v>
      </c>
      <c r="W499" s="4" t="s">
        <v>1301</v>
      </c>
    </row>
    <row r="500" spans="22:23">
      <c r="V500" s="4" t="s">
        <v>321</v>
      </c>
      <c r="W500" s="4" t="s">
        <v>1302</v>
      </c>
    </row>
    <row r="501" spans="22:23">
      <c r="V501" s="4" t="s">
        <v>321</v>
      </c>
      <c r="W501" s="4" t="s">
        <v>1303</v>
      </c>
    </row>
    <row r="502" spans="22:23">
      <c r="V502" s="4" t="s">
        <v>321</v>
      </c>
      <c r="W502" s="4" t="s">
        <v>1304</v>
      </c>
    </row>
    <row r="503" spans="22:23">
      <c r="V503" s="4" t="s">
        <v>321</v>
      </c>
      <c r="W503" s="4" t="s">
        <v>1305</v>
      </c>
    </row>
    <row r="504" spans="22:23">
      <c r="V504" s="4" t="s">
        <v>321</v>
      </c>
      <c r="W504" s="4" t="s">
        <v>1306</v>
      </c>
    </row>
    <row r="505" spans="22:23">
      <c r="V505" s="4" t="s">
        <v>321</v>
      </c>
      <c r="W505" s="4" t="s">
        <v>1307</v>
      </c>
    </row>
    <row r="506" spans="22:23">
      <c r="V506" s="4" t="s">
        <v>321</v>
      </c>
      <c r="W506" s="4" t="s">
        <v>1308</v>
      </c>
    </row>
    <row r="507" spans="22:23">
      <c r="V507" s="4" t="s">
        <v>321</v>
      </c>
      <c r="W507" s="4" t="s">
        <v>1309</v>
      </c>
    </row>
    <row r="508" spans="22:23">
      <c r="V508" s="4" t="s">
        <v>321</v>
      </c>
      <c r="W508" s="4" t="s">
        <v>1310</v>
      </c>
    </row>
    <row r="509" spans="22:23">
      <c r="V509" s="4" t="s">
        <v>321</v>
      </c>
      <c r="W509" s="4" t="s">
        <v>1311</v>
      </c>
    </row>
    <row r="510" spans="22:23">
      <c r="V510" s="4" t="s">
        <v>321</v>
      </c>
      <c r="W510" s="4" t="s">
        <v>1312</v>
      </c>
    </row>
    <row r="511" spans="22:23">
      <c r="V511" s="4" t="s">
        <v>321</v>
      </c>
      <c r="W511" s="4" t="s">
        <v>1167</v>
      </c>
    </row>
    <row r="512" spans="22:23">
      <c r="V512" s="4" t="s">
        <v>321</v>
      </c>
      <c r="W512" s="4" t="s">
        <v>1313</v>
      </c>
    </row>
    <row r="513" spans="22:23">
      <c r="V513" s="4" t="s">
        <v>321</v>
      </c>
      <c r="W513" s="4" t="s">
        <v>1022</v>
      </c>
    </row>
    <row r="514" spans="22:23">
      <c r="V514" s="4" t="s">
        <v>321</v>
      </c>
      <c r="W514" s="4" t="s">
        <v>1314</v>
      </c>
    </row>
    <row r="515" spans="22:23">
      <c r="V515" s="4" t="s">
        <v>321</v>
      </c>
      <c r="W515" s="4" t="s">
        <v>1315</v>
      </c>
    </row>
    <row r="516" spans="22:23">
      <c r="V516" s="4" t="s">
        <v>321</v>
      </c>
      <c r="W516" s="4" t="s">
        <v>1316</v>
      </c>
    </row>
    <row r="517" spans="22:23">
      <c r="V517" s="4" t="s">
        <v>321</v>
      </c>
      <c r="W517" s="4" t="s">
        <v>1317</v>
      </c>
    </row>
    <row r="518" spans="22:23">
      <c r="V518" s="4" t="s">
        <v>321</v>
      </c>
      <c r="W518" s="4" t="s">
        <v>1318</v>
      </c>
    </row>
    <row r="519" spans="22:23">
      <c r="V519" s="4" t="s">
        <v>326</v>
      </c>
      <c r="W519" s="4" t="s">
        <v>415</v>
      </c>
    </row>
    <row r="520" spans="22:23">
      <c r="V520" s="4" t="s">
        <v>326</v>
      </c>
      <c r="W520" s="4" t="s">
        <v>701</v>
      </c>
    </row>
    <row r="521" spans="22:23">
      <c r="V521" s="4" t="s">
        <v>326</v>
      </c>
      <c r="W521" s="4" t="s">
        <v>1024</v>
      </c>
    </row>
    <row r="522" spans="22:23">
      <c r="V522" s="4" t="s">
        <v>326</v>
      </c>
      <c r="W522" s="4" t="s">
        <v>576</v>
      </c>
    </row>
    <row r="523" spans="22:23">
      <c r="V523" s="4" t="s">
        <v>326</v>
      </c>
      <c r="W523" s="4" t="s">
        <v>703</v>
      </c>
    </row>
    <row r="524" spans="22:23">
      <c r="V524" s="4" t="s">
        <v>326</v>
      </c>
      <c r="W524" s="4" t="s">
        <v>1319</v>
      </c>
    </row>
    <row r="525" spans="22:23">
      <c r="V525" s="4" t="s">
        <v>326</v>
      </c>
      <c r="W525" s="4" t="s">
        <v>705</v>
      </c>
    </row>
    <row r="526" spans="22:23">
      <c r="V526" s="4" t="s">
        <v>326</v>
      </c>
      <c r="W526" s="4" t="s">
        <v>1320</v>
      </c>
    </row>
    <row r="527" spans="22:23">
      <c r="V527" s="4" t="s">
        <v>326</v>
      </c>
      <c r="W527" s="4" t="s">
        <v>709</v>
      </c>
    </row>
    <row r="528" spans="22:23">
      <c r="V528" s="4" t="s">
        <v>326</v>
      </c>
      <c r="W528" s="4" t="s">
        <v>1321</v>
      </c>
    </row>
    <row r="529" spans="22:23">
      <c r="V529" s="4" t="s">
        <v>326</v>
      </c>
      <c r="W529" s="4" t="s">
        <v>711</v>
      </c>
    </row>
    <row r="530" spans="22:23">
      <c r="V530" s="4" t="s">
        <v>326</v>
      </c>
      <c r="W530" s="4" t="s">
        <v>713</v>
      </c>
    </row>
    <row r="531" spans="22:23">
      <c r="V531" s="4" t="s">
        <v>326</v>
      </c>
      <c r="W531" s="4" t="s">
        <v>715</v>
      </c>
    </row>
    <row r="532" spans="22:23">
      <c r="V532" s="4" t="s">
        <v>326</v>
      </c>
      <c r="W532" s="4" t="s">
        <v>717</v>
      </c>
    </row>
    <row r="533" spans="22:23">
      <c r="V533" s="4" t="s">
        <v>326</v>
      </c>
      <c r="W533" s="4" t="s">
        <v>719</v>
      </c>
    </row>
    <row r="534" spans="22:23">
      <c r="V534" s="4" t="s">
        <v>326</v>
      </c>
      <c r="W534" s="4" t="s">
        <v>1026</v>
      </c>
    </row>
    <row r="535" spans="22:23">
      <c r="V535" s="4" t="s">
        <v>326</v>
      </c>
      <c r="W535" s="4" t="s">
        <v>721</v>
      </c>
    </row>
    <row r="536" spans="22:23">
      <c r="V536" s="4" t="s">
        <v>326</v>
      </c>
      <c r="W536" s="4" t="s">
        <v>578</v>
      </c>
    </row>
    <row r="537" spans="22:23">
      <c r="V537" s="4" t="s">
        <v>326</v>
      </c>
      <c r="W537" s="4" t="s">
        <v>723</v>
      </c>
    </row>
    <row r="538" spans="22:23">
      <c r="V538" s="4" t="s">
        <v>326</v>
      </c>
      <c r="W538" s="4" t="s">
        <v>725</v>
      </c>
    </row>
    <row r="539" spans="22:23">
      <c r="V539" s="4" t="s">
        <v>326</v>
      </c>
      <c r="W539" s="4" t="s">
        <v>580</v>
      </c>
    </row>
    <row r="540" spans="22:23">
      <c r="V540" s="4" t="s">
        <v>326</v>
      </c>
      <c r="W540" s="4" t="s">
        <v>727</v>
      </c>
    </row>
    <row r="541" spans="22:23">
      <c r="V541" s="4" t="s">
        <v>326</v>
      </c>
      <c r="W541" s="4" t="s">
        <v>517</v>
      </c>
    </row>
    <row r="542" spans="22:23">
      <c r="V542" s="4" t="s">
        <v>326</v>
      </c>
      <c r="W542" s="4" t="s">
        <v>1322</v>
      </c>
    </row>
    <row r="543" spans="22:23">
      <c r="V543" s="4" t="s">
        <v>326</v>
      </c>
      <c r="W543" s="4" t="s">
        <v>1323</v>
      </c>
    </row>
    <row r="544" spans="22:23">
      <c r="V544" s="4" t="s">
        <v>326</v>
      </c>
      <c r="W544" s="4" t="s">
        <v>582</v>
      </c>
    </row>
    <row r="545" spans="22:23">
      <c r="V545" s="4" t="s">
        <v>326</v>
      </c>
      <c r="W545" s="4" t="s">
        <v>729</v>
      </c>
    </row>
    <row r="546" spans="22:23">
      <c r="V546" s="4" t="s">
        <v>326</v>
      </c>
      <c r="W546" s="4" t="s">
        <v>731</v>
      </c>
    </row>
    <row r="547" spans="22:23">
      <c r="V547" s="4" t="s">
        <v>326</v>
      </c>
      <c r="W547" s="4" t="s">
        <v>733</v>
      </c>
    </row>
    <row r="548" spans="22:23">
      <c r="V548" s="4" t="s">
        <v>326</v>
      </c>
      <c r="W548" s="4" t="s">
        <v>584</v>
      </c>
    </row>
    <row r="549" spans="22:23">
      <c r="V549" s="4" t="s">
        <v>326</v>
      </c>
      <c r="W549" s="4" t="s">
        <v>735</v>
      </c>
    </row>
    <row r="550" spans="22:23">
      <c r="V550" s="4" t="s">
        <v>326</v>
      </c>
      <c r="W550" s="4" t="s">
        <v>737</v>
      </c>
    </row>
    <row r="551" spans="22:23">
      <c r="V551" s="4" t="s">
        <v>326</v>
      </c>
      <c r="W551" s="4" t="s">
        <v>739</v>
      </c>
    </row>
    <row r="552" spans="22:23">
      <c r="V552" s="4" t="s">
        <v>326</v>
      </c>
      <c r="W552" s="4" t="s">
        <v>741</v>
      </c>
    </row>
    <row r="553" spans="22:23">
      <c r="V553" s="4" t="s">
        <v>326</v>
      </c>
      <c r="W553" s="4" t="s">
        <v>743</v>
      </c>
    </row>
    <row r="554" spans="22:23">
      <c r="V554" s="4" t="s">
        <v>326</v>
      </c>
      <c r="W554" s="4" t="s">
        <v>745</v>
      </c>
    </row>
    <row r="555" spans="22:23">
      <c r="V555" s="4" t="s">
        <v>326</v>
      </c>
      <c r="W555" s="4" t="s">
        <v>1028</v>
      </c>
    </row>
    <row r="556" spans="22:23">
      <c r="V556" s="4" t="s">
        <v>326</v>
      </c>
      <c r="W556" s="4" t="s">
        <v>747</v>
      </c>
    </row>
    <row r="557" spans="22:23">
      <c r="V557" s="4" t="s">
        <v>326</v>
      </c>
      <c r="W557" s="4" t="s">
        <v>586</v>
      </c>
    </row>
    <row r="558" spans="22:23">
      <c r="V558" s="4" t="s">
        <v>326</v>
      </c>
      <c r="W558" s="4" t="s">
        <v>1324</v>
      </c>
    </row>
    <row r="559" spans="22:23">
      <c r="V559" s="4" t="s">
        <v>326</v>
      </c>
      <c r="W559" s="4" t="s">
        <v>751</v>
      </c>
    </row>
    <row r="560" spans="22:23">
      <c r="V560" s="4" t="s">
        <v>326</v>
      </c>
      <c r="W560" s="4" t="s">
        <v>753</v>
      </c>
    </row>
    <row r="561" spans="22:23">
      <c r="V561" s="4" t="s">
        <v>326</v>
      </c>
      <c r="W561" s="4" t="s">
        <v>1030</v>
      </c>
    </row>
    <row r="562" spans="22:23">
      <c r="V562" s="4" t="s">
        <v>326</v>
      </c>
      <c r="W562" s="4" t="s">
        <v>1032</v>
      </c>
    </row>
    <row r="563" spans="22:23">
      <c r="V563" s="4" t="s">
        <v>326</v>
      </c>
      <c r="W563" s="4" t="s">
        <v>1034</v>
      </c>
    </row>
    <row r="564" spans="22:23">
      <c r="V564" s="4" t="s">
        <v>326</v>
      </c>
      <c r="W564" s="4" t="s">
        <v>1325</v>
      </c>
    </row>
    <row r="565" spans="22:23">
      <c r="V565" s="4" t="s">
        <v>326</v>
      </c>
      <c r="W565" s="4" t="s">
        <v>1326</v>
      </c>
    </row>
    <row r="566" spans="22:23">
      <c r="V566" s="4" t="s">
        <v>326</v>
      </c>
      <c r="W566" s="4" t="s">
        <v>1036</v>
      </c>
    </row>
    <row r="567" spans="22:23">
      <c r="V567" s="4" t="s">
        <v>326</v>
      </c>
      <c r="W567" s="4" t="s">
        <v>1038</v>
      </c>
    </row>
    <row r="568" spans="22:23">
      <c r="V568" s="4" t="s">
        <v>326</v>
      </c>
      <c r="W568" s="4" t="s">
        <v>1040</v>
      </c>
    </row>
    <row r="569" spans="22:23">
      <c r="V569" s="4" t="s">
        <v>326</v>
      </c>
      <c r="W569" s="4" t="s">
        <v>1327</v>
      </c>
    </row>
    <row r="570" spans="22:23">
      <c r="V570" s="4" t="s">
        <v>326</v>
      </c>
      <c r="W570" s="4" t="s">
        <v>1328</v>
      </c>
    </row>
    <row r="571" spans="22:23">
      <c r="V571" s="4" t="s">
        <v>326</v>
      </c>
      <c r="W571" s="4" t="s">
        <v>1329</v>
      </c>
    </row>
    <row r="572" spans="22:23">
      <c r="V572" s="4" t="s">
        <v>326</v>
      </c>
      <c r="W572" s="4" t="s">
        <v>1330</v>
      </c>
    </row>
    <row r="573" spans="22:23">
      <c r="V573" s="4" t="s">
        <v>326</v>
      </c>
      <c r="W573" s="4" t="s">
        <v>1331</v>
      </c>
    </row>
    <row r="574" spans="22:23">
      <c r="V574" s="4" t="s">
        <v>326</v>
      </c>
      <c r="W574" s="4" t="s">
        <v>1332</v>
      </c>
    </row>
    <row r="575" spans="22:23">
      <c r="V575" s="4" t="s">
        <v>326</v>
      </c>
      <c r="W575" s="4" t="s">
        <v>979</v>
      </c>
    </row>
    <row r="576" spans="22:23">
      <c r="V576" s="4" t="s">
        <v>326</v>
      </c>
      <c r="W576" s="4" t="s">
        <v>1333</v>
      </c>
    </row>
    <row r="577" spans="22:23">
      <c r="V577" s="4" t="s">
        <v>326</v>
      </c>
      <c r="W577" s="4" t="s">
        <v>1334</v>
      </c>
    </row>
    <row r="578" spans="22:23">
      <c r="V578" s="4" t="s">
        <v>326</v>
      </c>
      <c r="W578" s="4" t="s">
        <v>1042</v>
      </c>
    </row>
    <row r="579" spans="22:23">
      <c r="V579" s="4" t="s">
        <v>326</v>
      </c>
      <c r="W579" s="4" t="s">
        <v>755</v>
      </c>
    </row>
    <row r="580" spans="22:23">
      <c r="V580" s="4" t="s">
        <v>326</v>
      </c>
      <c r="W580" s="4" t="s">
        <v>757</v>
      </c>
    </row>
    <row r="581" spans="22:23">
      <c r="V581" s="4" t="s">
        <v>326</v>
      </c>
      <c r="W581" s="4" t="s">
        <v>759</v>
      </c>
    </row>
    <row r="582" spans="22:23">
      <c r="V582" s="4" t="s">
        <v>331</v>
      </c>
      <c r="W582" s="4" t="s">
        <v>420</v>
      </c>
    </row>
    <row r="583" spans="22:23">
      <c r="V583" s="4" t="s">
        <v>331</v>
      </c>
      <c r="W583" s="4" t="s">
        <v>1335</v>
      </c>
    </row>
    <row r="584" spans="22:23">
      <c r="V584" s="4" t="s">
        <v>331</v>
      </c>
      <c r="W584" s="4" t="s">
        <v>588</v>
      </c>
    </row>
    <row r="585" spans="22:23">
      <c r="V585" s="4" t="s">
        <v>331</v>
      </c>
      <c r="W585" s="4" t="s">
        <v>523</v>
      </c>
    </row>
    <row r="586" spans="22:23">
      <c r="V586" s="4" t="s">
        <v>331</v>
      </c>
      <c r="W586" s="4" t="s">
        <v>1336</v>
      </c>
    </row>
    <row r="587" spans="22:23">
      <c r="V587" s="4" t="s">
        <v>331</v>
      </c>
      <c r="W587" s="4" t="s">
        <v>761</v>
      </c>
    </row>
    <row r="588" spans="22:23">
      <c r="V588" s="4" t="s">
        <v>331</v>
      </c>
      <c r="W588" s="4" t="s">
        <v>590</v>
      </c>
    </row>
    <row r="589" spans="22:23">
      <c r="V589" s="4" t="s">
        <v>331</v>
      </c>
      <c r="W589" s="4" t="s">
        <v>763</v>
      </c>
    </row>
    <row r="590" spans="22:23">
      <c r="V590" s="4" t="s">
        <v>331</v>
      </c>
      <c r="W590" s="4" t="s">
        <v>765</v>
      </c>
    </row>
    <row r="591" spans="22:23">
      <c r="V591" s="4" t="s">
        <v>331</v>
      </c>
      <c r="W591" s="4" t="s">
        <v>525</v>
      </c>
    </row>
    <row r="592" spans="22:23">
      <c r="V592" s="4" t="s">
        <v>331</v>
      </c>
      <c r="W592" s="4" t="s">
        <v>592</v>
      </c>
    </row>
    <row r="593" spans="22:23">
      <c r="V593" s="4" t="s">
        <v>331</v>
      </c>
      <c r="W593" s="4" t="s">
        <v>1044</v>
      </c>
    </row>
    <row r="594" spans="22:23">
      <c r="V594" s="4" t="s">
        <v>331</v>
      </c>
      <c r="W594" s="4" t="s">
        <v>1337</v>
      </c>
    </row>
    <row r="595" spans="22:23">
      <c r="V595" s="4" t="s">
        <v>331</v>
      </c>
      <c r="W595" s="4" t="s">
        <v>527</v>
      </c>
    </row>
    <row r="596" spans="22:23">
      <c r="V596" s="4" t="s">
        <v>331</v>
      </c>
      <c r="W596" s="4" t="s">
        <v>767</v>
      </c>
    </row>
    <row r="597" spans="22:23">
      <c r="V597" s="4" t="s">
        <v>331</v>
      </c>
      <c r="W597" s="4" t="s">
        <v>1338</v>
      </c>
    </row>
    <row r="598" spans="22:23">
      <c r="V598" s="4" t="s">
        <v>331</v>
      </c>
      <c r="W598" s="4" t="s">
        <v>594</v>
      </c>
    </row>
    <row r="599" spans="22:23">
      <c r="V599" s="4" t="s">
        <v>331</v>
      </c>
      <c r="W599" s="4" t="s">
        <v>769</v>
      </c>
    </row>
    <row r="600" spans="22:23">
      <c r="V600" s="4" t="s">
        <v>331</v>
      </c>
      <c r="W600" s="4" t="s">
        <v>597</v>
      </c>
    </row>
    <row r="601" spans="22:23">
      <c r="V601" s="4" t="s">
        <v>331</v>
      </c>
      <c r="W601" s="4" t="s">
        <v>771</v>
      </c>
    </row>
    <row r="602" spans="22:23">
      <c r="V602" s="4" t="s">
        <v>331</v>
      </c>
      <c r="W602" s="4" t="s">
        <v>1339</v>
      </c>
    </row>
    <row r="603" spans="22:23">
      <c r="V603" s="4" t="s">
        <v>331</v>
      </c>
      <c r="W603" s="4" t="s">
        <v>773</v>
      </c>
    </row>
    <row r="604" spans="22:23">
      <c r="V604" s="4" t="s">
        <v>331</v>
      </c>
      <c r="W604" s="4" t="s">
        <v>1046</v>
      </c>
    </row>
    <row r="605" spans="22:23">
      <c r="V605" s="4" t="s">
        <v>331</v>
      </c>
      <c r="W605" s="4" t="s">
        <v>1048</v>
      </c>
    </row>
    <row r="606" spans="22:23">
      <c r="V606" s="4" t="s">
        <v>331</v>
      </c>
      <c r="W606" s="4" t="s">
        <v>424</v>
      </c>
    </row>
    <row r="607" spans="22:23">
      <c r="V607" s="4" t="s">
        <v>331</v>
      </c>
      <c r="W607" s="4" t="s">
        <v>599</v>
      </c>
    </row>
    <row r="608" spans="22:23">
      <c r="V608" s="4" t="s">
        <v>331</v>
      </c>
      <c r="W608" s="4" t="s">
        <v>601</v>
      </c>
    </row>
    <row r="609" spans="22:23">
      <c r="V609" s="4" t="s">
        <v>331</v>
      </c>
      <c r="W609" s="4" t="s">
        <v>1050</v>
      </c>
    </row>
    <row r="610" spans="22:23">
      <c r="V610" s="4" t="s">
        <v>331</v>
      </c>
      <c r="W610" s="4" t="s">
        <v>603</v>
      </c>
    </row>
    <row r="611" spans="22:23">
      <c r="V611" s="4" t="s">
        <v>331</v>
      </c>
      <c r="W611" s="4" t="s">
        <v>775</v>
      </c>
    </row>
    <row r="612" spans="22:23">
      <c r="V612" s="4" t="s">
        <v>331</v>
      </c>
      <c r="W612" s="4" t="s">
        <v>1340</v>
      </c>
    </row>
    <row r="613" spans="22:23">
      <c r="V613" s="4" t="s">
        <v>331</v>
      </c>
      <c r="W613" s="4" t="s">
        <v>1341</v>
      </c>
    </row>
    <row r="614" spans="22:23">
      <c r="V614" s="4" t="s">
        <v>331</v>
      </c>
      <c r="W614" s="4" t="s">
        <v>1342</v>
      </c>
    </row>
    <row r="615" spans="22:23">
      <c r="V615" s="4" t="s">
        <v>331</v>
      </c>
      <c r="W615" s="4" t="s">
        <v>1343</v>
      </c>
    </row>
    <row r="616" spans="22:23">
      <c r="V616" s="4" t="s">
        <v>331</v>
      </c>
      <c r="W616" s="4" t="s">
        <v>1054</v>
      </c>
    </row>
    <row r="617" spans="22:23">
      <c r="V617" s="4" t="s">
        <v>331</v>
      </c>
      <c r="W617" s="4" t="s">
        <v>1344</v>
      </c>
    </row>
    <row r="618" spans="22:23">
      <c r="V618" s="4" t="s">
        <v>331</v>
      </c>
      <c r="W618" s="4" t="s">
        <v>1345</v>
      </c>
    </row>
    <row r="619" spans="22:23">
      <c r="V619" s="4" t="s">
        <v>331</v>
      </c>
      <c r="W619" s="4" t="s">
        <v>777</v>
      </c>
    </row>
    <row r="620" spans="22:23">
      <c r="V620" s="4" t="s">
        <v>331</v>
      </c>
      <c r="W620" s="4" t="s">
        <v>605</v>
      </c>
    </row>
    <row r="621" spans="22:23">
      <c r="V621" s="4" t="s">
        <v>331</v>
      </c>
      <c r="W621" s="4" t="s">
        <v>1346</v>
      </c>
    </row>
    <row r="622" spans="22:23">
      <c r="V622" s="4" t="s">
        <v>331</v>
      </c>
      <c r="W622" s="4" t="s">
        <v>1347</v>
      </c>
    </row>
    <row r="623" spans="22:23">
      <c r="V623" s="4" t="s">
        <v>331</v>
      </c>
      <c r="W623" s="4" t="s">
        <v>1348</v>
      </c>
    </row>
    <row r="624" spans="22:23">
      <c r="V624" s="4" t="s">
        <v>331</v>
      </c>
      <c r="W624" s="4" t="s">
        <v>1349</v>
      </c>
    </row>
    <row r="625" spans="22:23">
      <c r="V625" s="4" t="s">
        <v>331</v>
      </c>
      <c r="W625" s="4" t="s">
        <v>1350</v>
      </c>
    </row>
    <row r="626" spans="22:23">
      <c r="V626" s="4" t="s">
        <v>331</v>
      </c>
      <c r="W626" s="4" t="s">
        <v>1351</v>
      </c>
    </row>
    <row r="627" spans="22:23">
      <c r="V627" s="4" t="s">
        <v>331</v>
      </c>
      <c r="W627" s="4" t="s">
        <v>1352</v>
      </c>
    </row>
    <row r="628" spans="22:23">
      <c r="V628" s="4" t="s">
        <v>331</v>
      </c>
      <c r="W628" s="4" t="s">
        <v>1353</v>
      </c>
    </row>
    <row r="629" spans="22:23">
      <c r="V629" s="4" t="s">
        <v>331</v>
      </c>
      <c r="W629" s="4" t="s">
        <v>1354</v>
      </c>
    </row>
    <row r="630" spans="22:23">
      <c r="V630" s="4" t="s">
        <v>331</v>
      </c>
      <c r="W630" s="4" t="s">
        <v>1355</v>
      </c>
    </row>
    <row r="631" spans="22:23">
      <c r="V631" s="4" t="s">
        <v>331</v>
      </c>
      <c r="W631" s="4" t="s">
        <v>1058</v>
      </c>
    </row>
    <row r="632" spans="22:23">
      <c r="V632" s="4" t="s">
        <v>331</v>
      </c>
      <c r="W632" s="4" t="s">
        <v>1060</v>
      </c>
    </row>
    <row r="633" spans="22:23">
      <c r="V633" s="4" t="s">
        <v>331</v>
      </c>
      <c r="W633" s="4" t="s">
        <v>1356</v>
      </c>
    </row>
    <row r="634" spans="22:23">
      <c r="V634" s="4" t="s">
        <v>331</v>
      </c>
      <c r="W634" s="4" t="s">
        <v>1357</v>
      </c>
    </row>
    <row r="635" spans="22:23">
      <c r="V635" s="4" t="s">
        <v>331</v>
      </c>
      <c r="W635" s="4" t="s">
        <v>1358</v>
      </c>
    </row>
    <row r="636" spans="22:23">
      <c r="V636" s="4" t="s">
        <v>4</v>
      </c>
      <c r="W636" s="4" t="s">
        <v>40</v>
      </c>
    </row>
    <row r="637" spans="22:23">
      <c r="V637" s="4" t="s">
        <v>4</v>
      </c>
      <c r="W637" s="4" t="s">
        <v>1359</v>
      </c>
    </row>
    <row r="638" spans="22:23">
      <c r="V638" s="4" t="s">
        <v>4</v>
      </c>
      <c r="W638" s="4" t="s">
        <v>1360</v>
      </c>
    </row>
    <row r="639" spans="22:23">
      <c r="V639" s="4" t="s">
        <v>4</v>
      </c>
      <c r="W639" s="4" t="s">
        <v>1361</v>
      </c>
    </row>
    <row r="640" spans="22:23">
      <c r="V640" s="4" t="s">
        <v>4</v>
      </c>
      <c r="W640" s="4" t="s">
        <v>1362</v>
      </c>
    </row>
    <row r="641" spans="22:23">
      <c r="V641" s="4" t="s">
        <v>4</v>
      </c>
      <c r="W641" s="4" t="s">
        <v>1363</v>
      </c>
    </row>
    <row r="642" spans="22:23">
      <c r="V642" s="4" t="s">
        <v>4</v>
      </c>
      <c r="W642" s="4" t="s">
        <v>1364</v>
      </c>
    </row>
    <row r="643" spans="22:23">
      <c r="V643" s="4" t="s">
        <v>4</v>
      </c>
      <c r="W643" s="4" t="s">
        <v>1365</v>
      </c>
    </row>
    <row r="644" spans="22:23">
      <c r="V644" s="4" t="s">
        <v>4</v>
      </c>
      <c r="W644" s="4" t="s">
        <v>1366</v>
      </c>
    </row>
    <row r="645" spans="22:23">
      <c r="V645" s="4" t="s">
        <v>4</v>
      </c>
      <c r="W645" s="4" t="s">
        <v>1367</v>
      </c>
    </row>
    <row r="646" spans="22:23">
      <c r="V646" s="4" t="s">
        <v>4</v>
      </c>
      <c r="W646" s="4" t="s">
        <v>1368</v>
      </c>
    </row>
    <row r="647" spans="22:23">
      <c r="V647" s="4" t="s">
        <v>4</v>
      </c>
      <c r="W647" s="4" t="s">
        <v>1369</v>
      </c>
    </row>
    <row r="648" spans="22:23">
      <c r="V648" s="4" t="s">
        <v>4</v>
      </c>
      <c r="W648" s="4" t="s">
        <v>1370</v>
      </c>
    </row>
    <row r="649" spans="22:23">
      <c r="V649" s="4" t="s">
        <v>4</v>
      </c>
      <c r="W649" s="4" t="s">
        <v>1371</v>
      </c>
    </row>
    <row r="650" spans="22:23">
      <c r="V650" s="4" t="s">
        <v>4</v>
      </c>
      <c r="W650" s="4" t="s">
        <v>1372</v>
      </c>
    </row>
    <row r="651" spans="22:23">
      <c r="V651" s="4" t="s">
        <v>4</v>
      </c>
      <c r="W651" s="4" t="s">
        <v>1373</v>
      </c>
    </row>
    <row r="652" spans="22:23">
      <c r="V652" s="4" t="s">
        <v>4</v>
      </c>
      <c r="W652" s="4" t="s">
        <v>1374</v>
      </c>
    </row>
    <row r="653" spans="22:23">
      <c r="V653" s="4" t="s">
        <v>4</v>
      </c>
      <c r="W653" s="4" t="s">
        <v>1375</v>
      </c>
    </row>
    <row r="654" spans="22:23">
      <c r="V654" s="4" t="s">
        <v>4</v>
      </c>
      <c r="W654" s="4" t="s">
        <v>1376</v>
      </c>
    </row>
    <row r="655" spans="22:23">
      <c r="V655" s="4" t="s">
        <v>4</v>
      </c>
      <c r="W655" s="4" t="s">
        <v>1377</v>
      </c>
    </row>
    <row r="656" spans="22:23">
      <c r="V656" s="4" t="s">
        <v>4</v>
      </c>
      <c r="W656" s="4" t="s">
        <v>1378</v>
      </c>
    </row>
    <row r="657" spans="22:23">
      <c r="V657" s="4" t="s">
        <v>4</v>
      </c>
      <c r="W657" s="4" t="s">
        <v>1379</v>
      </c>
    </row>
    <row r="658" spans="22:23">
      <c r="V658" s="4" t="s">
        <v>4</v>
      </c>
      <c r="W658" s="4" t="s">
        <v>1380</v>
      </c>
    </row>
    <row r="659" spans="22:23">
      <c r="V659" s="4" t="s">
        <v>4</v>
      </c>
      <c r="W659" s="4" t="s">
        <v>428</v>
      </c>
    </row>
    <row r="660" spans="22:23">
      <c r="V660" s="4" t="s">
        <v>4</v>
      </c>
      <c r="W660" s="4" t="s">
        <v>529</v>
      </c>
    </row>
    <row r="661" spans="22:23">
      <c r="V661" s="4" t="s">
        <v>4</v>
      </c>
      <c r="W661" s="4" t="s">
        <v>432</v>
      </c>
    </row>
    <row r="662" spans="22:23">
      <c r="V662" s="4" t="s">
        <v>4</v>
      </c>
      <c r="W662" s="4" t="s">
        <v>436</v>
      </c>
    </row>
    <row r="663" spans="22:23">
      <c r="V663" s="4" t="s">
        <v>4</v>
      </c>
      <c r="W663" s="4" t="s">
        <v>440</v>
      </c>
    </row>
    <row r="664" spans="22:23">
      <c r="V664" s="4" t="s">
        <v>4</v>
      </c>
      <c r="W664" s="4" t="s">
        <v>1381</v>
      </c>
    </row>
    <row r="665" spans="22:23">
      <c r="V665" s="4" t="s">
        <v>4</v>
      </c>
      <c r="W665" s="4" t="s">
        <v>531</v>
      </c>
    </row>
    <row r="666" spans="22:23">
      <c r="V666" s="4" t="s">
        <v>4</v>
      </c>
      <c r="W666" s="4" t="s">
        <v>383</v>
      </c>
    </row>
    <row r="667" spans="22:23">
      <c r="V667" s="4" t="s">
        <v>4</v>
      </c>
      <c r="W667" s="4" t="s">
        <v>1382</v>
      </c>
    </row>
    <row r="668" spans="22:23">
      <c r="V668" s="4" t="s">
        <v>4</v>
      </c>
      <c r="W668" s="4" t="s">
        <v>448</v>
      </c>
    </row>
    <row r="669" spans="22:23">
      <c r="V669" s="4" t="s">
        <v>4</v>
      </c>
      <c r="W669" s="4" t="s">
        <v>453</v>
      </c>
    </row>
    <row r="670" spans="22:23">
      <c r="V670" s="4" t="s">
        <v>4</v>
      </c>
      <c r="W670" s="4" t="s">
        <v>457</v>
      </c>
    </row>
    <row r="671" spans="22:23">
      <c r="V671" s="4" t="s">
        <v>4</v>
      </c>
      <c r="W671" s="4" t="s">
        <v>1383</v>
      </c>
    </row>
    <row r="672" spans="22:23">
      <c r="V672" s="4" t="s">
        <v>4</v>
      </c>
      <c r="W672" s="4" t="s">
        <v>465</v>
      </c>
    </row>
    <row r="673" spans="22:23">
      <c r="V673" s="4" t="s">
        <v>4</v>
      </c>
      <c r="W673" s="4" t="s">
        <v>469</v>
      </c>
    </row>
    <row r="674" spans="22:23">
      <c r="V674" s="4" t="s">
        <v>4</v>
      </c>
      <c r="W674" s="4" t="s">
        <v>1384</v>
      </c>
    </row>
    <row r="675" spans="22:23">
      <c r="V675" s="4" t="s">
        <v>4</v>
      </c>
      <c r="W675" s="4" t="s">
        <v>1385</v>
      </c>
    </row>
    <row r="676" spans="22:23">
      <c r="V676" s="4" t="s">
        <v>4</v>
      </c>
      <c r="W676" s="4" t="s">
        <v>533</v>
      </c>
    </row>
    <row r="677" spans="22:23">
      <c r="V677" s="4" t="s">
        <v>4</v>
      </c>
      <c r="W677" s="4" t="s">
        <v>1386</v>
      </c>
    </row>
    <row r="678" spans="22:23">
      <c r="V678" s="4" t="s">
        <v>4</v>
      </c>
      <c r="W678" s="4" t="s">
        <v>478</v>
      </c>
    </row>
    <row r="679" spans="22:23">
      <c r="V679" s="4" t="s">
        <v>4</v>
      </c>
      <c r="W679" s="4" t="s">
        <v>779</v>
      </c>
    </row>
    <row r="680" spans="22:23">
      <c r="V680" s="4" t="s">
        <v>4</v>
      </c>
      <c r="W680" s="4" t="s">
        <v>1387</v>
      </c>
    </row>
    <row r="681" spans="22:23">
      <c r="V681" s="4" t="s">
        <v>4</v>
      </c>
      <c r="W681" s="4" t="s">
        <v>481</v>
      </c>
    </row>
    <row r="682" spans="22:23">
      <c r="V682" s="4" t="s">
        <v>4</v>
      </c>
      <c r="W682" s="4" t="s">
        <v>781</v>
      </c>
    </row>
    <row r="683" spans="22:23">
      <c r="V683" s="4" t="s">
        <v>4</v>
      </c>
      <c r="W683" s="4" t="s">
        <v>609</v>
      </c>
    </row>
    <row r="684" spans="22:23">
      <c r="V684" s="4" t="s">
        <v>4</v>
      </c>
      <c r="W684" s="4" t="s">
        <v>484</v>
      </c>
    </row>
    <row r="685" spans="22:23">
      <c r="V685" s="4" t="s">
        <v>4</v>
      </c>
      <c r="W685" s="4" t="s">
        <v>1388</v>
      </c>
    </row>
    <row r="686" spans="22:23">
      <c r="V686" s="4" t="s">
        <v>4</v>
      </c>
      <c r="W686" s="4" t="s">
        <v>611</v>
      </c>
    </row>
    <row r="687" spans="22:23">
      <c r="V687" s="4" t="s">
        <v>4</v>
      </c>
      <c r="W687" s="4" t="s">
        <v>787</v>
      </c>
    </row>
    <row r="688" spans="22:23">
      <c r="V688" s="4" t="s">
        <v>4</v>
      </c>
      <c r="W688" s="4" t="s">
        <v>785</v>
      </c>
    </row>
    <row r="689" spans="22:23">
      <c r="V689" s="4" t="s">
        <v>4</v>
      </c>
      <c r="W689" s="4" t="s">
        <v>1389</v>
      </c>
    </row>
    <row r="690" spans="22:23">
      <c r="V690" s="4" t="s">
        <v>4</v>
      </c>
      <c r="W690" s="4" t="s">
        <v>1390</v>
      </c>
    </row>
    <row r="691" spans="22:23">
      <c r="V691" s="4" t="s">
        <v>4</v>
      </c>
      <c r="W691" s="4" t="s">
        <v>1391</v>
      </c>
    </row>
    <row r="692" spans="22:23">
      <c r="V692" s="4" t="s">
        <v>4</v>
      </c>
      <c r="W692" s="4" t="s">
        <v>1392</v>
      </c>
    </row>
    <row r="693" spans="22:23">
      <c r="V693" s="4" t="s">
        <v>4</v>
      </c>
      <c r="W693" s="4" t="s">
        <v>1393</v>
      </c>
    </row>
    <row r="694" spans="22:23">
      <c r="V694" s="4" t="s">
        <v>4</v>
      </c>
      <c r="W694" s="4" t="s">
        <v>1394</v>
      </c>
    </row>
    <row r="695" spans="22:23">
      <c r="V695" s="4" t="s">
        <v>4</v>
      </c>
      <c r="W695" s="4" t="s">
        <v>1395</v>
      </c>
    </row>
    <row r="696" spans="22:23">
      <c r="V696" s="4" t="s">
        <v>4</v>
      </c>
      <c r="W696" s="4" t="s">
        <v>1396</v>
      </c>
    </row>
    <row r="697" spans="22:23">
      <c r="V697" s="4" t="s">
        <v>4</v>
      </c>
      <c r="W697" s="4" t="s">
        <v>1397</v>
      </c>
    </row>
    <row r="698" spans="22:23">
      <c r="V698" s="4" t="s">
        <v>338</v>
      </c>
      <c r="W698" s="4" t="s">
        <v>1398</v>
      </c>
    </row>
    <row r="699" spans="22:23">
      <c r="V699" s="4" t="s">
        <v>338</v>
      </c>
      <c r="W699" s="4" t="s">
        <v>1399</v>
      </c>
    </row>
    <row r="700" spans="22:23">
      <c r="V700" s="4" t="s">
        <v>338</v>
      </c>
      <c r="W700" s="4" t="s">
        <v>535</v>
      </c>
    </row>
    <row r="701" spans="22:23">
      <c r="V701" s="4" t="s">
        <v>338</v>
      </c>
      <c r="W701" s="4" t="s">
        <v>537</v>
      </c>
    </row>
    <row r="702" spans="22:23">
      <c r="V702" s="4" t="s">
        <v>338</v>
      </c>
      <c r="W702" s="4" t="s">
        <v>613</v>
      </c>
    </row>
    <row r="703" spans="22:23">
      <c r="V703" s="4" t="s">
        <v>338</v>
      </c>
      <c r="W703" s="4" t="s">
        <v>487</v>
      </c>
    </row>
    <row r="704" spans="22:23">
      <c r="V704" s="4" t="s">
        <v>338</v>
      </c>
      <c r="W704" s="4" t="s">
        <v>539</v>
      </c>
    </row>
    <row r="705" spans="22:23">
      <c r="V705" s="4" t="s">
        <v>338</v>
      </c>
      <c r="W705" s="4" t="s">
        <v>615</v>
      </c>
    </row>
    <row r="706" spans="22:23">
      <c r="V706" s="4" t="s">
        <v>338</v>
      </c>
      <c r="W706" s="4" t="s">
        <v>617</v>
      </c>
    </row>
    <row r="707" spans="22:23">
      <c r="V707" s="4" t="s">
        <v>338</v>
      </c>
      <c r="W707" s="4" t="s">
        <v>541</v>
      </c>
    </row>
    <row r="708" spans="22:23">
      <c r="V708" s="4" t="s">
        <v>338</v>
      </c>
      <c r="W708" s="4" t="s">
        <v>543</v>
      </c>
    </row>
    <row r="709" spans="22:23">
      <c r="V709" s="4" t="s">
        <v>338</v>
      </c>
      <c r="W709" s="4" t="s">
        <v>789</v>
      </c>
    </row>
    <row r="710" spans="22:23">
      <c r="V710" s="4" t="s">
        <v>338</v>
      </c>
      <c r="W710" s="4" t="s">
        <v>490</v>
      </c>
    </row>
    <row r="711" spans="22:23">
      <c r="V711" s="4" t="s">
        <v>338</v>
      </c>
      <c r="W711" s="4" t="s">
        <v>619</v>
      </c>
    </row>
    <row r="712" spans="22:23">
      <c r="V712" s="4" t="s">
        <v>338</v>
      </c>
      <c r="W712" s="4" t="s">
        <v>621</v>
      </c>
    </row>
    <row r="713" spans="22:23">
      <c r="V713" s="4" t="s">
        <v>338</v>
      </c>
      <c r="W713" s="4" t="s">
        <v>1400</v>
      </c>
    </row>
    <row r="714" spans="22:23">
      <c r="V714" s="4" t="s">
        <v>338</v>
      </c>
      <c r="W714" s="4" t="s">
        <v>623</v>
      </c>
    </row>
    <row r="715" spans="22:23">
      <c r="V715" s="4" t="s">
        <v>338</v>
      </c>
      <c r="W715" s="4" t="s">
        <v>1401</v>
      </c>
    </row>
    <row r="716" spans="22:23">
      <c r="V716" s="4" t="s">
        <v>338</v>
      </c>
      <c r="W716" s="4" t="s">
        <v>625</v>
      </c>
    </row>
    <row r="717" spans="22:23">
      <c r="V717" s="4" t="s">
        <v>338</v>
      </c>
      <c r="W717" s="4" t="s">
        <v>627</v>
      </c>
    </row>
    <row r="718" spans="22:23">
      <c r="V718" s="4" t="s">
        <v>338</v>
      </c>
      <c r="W718" s="4" t="s">
        <v>629</v>
      </c>
    </row>
    <row r="719" spans="22:23">
      <c r="V719" s="4" t="s">
        <v>338</v>
      </c>
      <c r="W719" s="4" t="s">
        <v>791</v>
      </c>
    </row>
    <row r="720" spans="22:23">
      <c r="V720" s="4" t="s">
        <v>338</v>
      </c>
      <c r="W720" s="4" t="s">
        <v>793</v>
      </c>
    </row>
    <row r="721" spans="22:23">
      <c r="V721" s="4" t="s">
        <v>338</v>
      </c>
      <c r="W721" s="4" t="s">
        <v>1402</v>
      </c>
    </row>
    <row r="722" spans="22:23">
      <c r="V722" s="4" t="s">
        <v>338</v>
      </c>
      <c r="W722" s="4" t="s">
        <v>1403</v>
      </c>
    </row>
    <row r="723" spans="22:23">
      <c r="V723" s="4" t="s">
        <v>338</v>
      </c>
      <c r="W723" s="4" t="s">
        <v>1404</v>
      </c>
    </row>
    <row r="724" spans="22:23">
      <c r="V724" s="4" t="s">
        <v>338</v>
      </c>
      <c r="W724" s="4" t="s">
        <v>1405</v>
      </c>
    </row>
    <row r="725" spans="22:23">
      <c r="V725" s="4" t="s">
        <v>338</v>
      </c>
      <c r="W725" s="4" t="s">
        <v>1406</v>
      </c>
    </row>
    <row r="726" spans="22:23">
      <c r="V726" s="4" t="s">
        <v>338</v>
      </c>
      <c r="W726" s="4" t="s">
        <v>1066</v>
      </c>
    </row>
    <row r="727" spans="22:23">
      <c r="V727" s="4" t="s">
        <v>338</v>
      </c>
      <c r="W727" s="4" t="s">
        <v>1407</v>
      </c>
    </row>
    <row r="728" spans="22:23">
      <c r="V728" s="4" t="s">
        <v>338</v>
      </c>
      <c r="W728" s="4" t="s">
        <v>1408</v>
      </c>
    </row>
    <row r="729" spans="22:23">
      <c r="V729" s="4" t="s">
        <v>338</v>
      </c>
      <c r="W729" s="4" t="s">
        <v>631</v>
      </c>
    </row>
    <row r="730" spans="22:23">
      <c r="V730" s="4" t="s">
        <v>338</v>
      </c>
      <c r="W730" s="4" t="s">
        <v>797</v>
      </c>
    </row>
    <row r="731" spans="22:23">
      <c r="V731" s="4" t="s">
        <v>342</v>
      </c>
      <c r="W731" s="4" t="s">
        <v>1068</v>
      </c>
    </row>
    <row r="732" spans="22:23">
      <c r="V732" s="4" t="s">
        <v>342</v>
      </c>
      <c r="W732" s="4" t="s">
        <v>1409</v>
      </c>
    </row>
    <row r="733" spans="22:23">
      <c r="V733" s="4" t="s">
        <v>342</v>
      </c>
      <c r="W733" s="4" t="s">
        <v>1410</v>
      </c>
    </row>
    <row r="734" spans="22:23">
      <c r="V734" s="4" t="s">
        <v>342</v>
      </c>
      <c r="W734" s="4" t="s">
        <v>1411</v>
      </c>
    </row>
    <row r="735" spans="22:23">
      <c r="V735" s="4" t="s">
        <v>342</v>
      </c>
      <c r="W735" s="4" t="s">
        <v>1412</v>
      </c>
    </row>
    <row r="736" spans="22:23">
      <c r="V736" s="4" t="s">
        <v>342</v>
      </c>
      <c r="W736" s="4" t="s">
        <v>1413</v>
      </c>
    </row>
    <row r="737" spans="22:23">
      <c r="V737" s="4" t="s">
        <v>342</v>
      </c>
      <c r="W737" s="4" t="s">
        <v>1414</v>
      </c>
    </row>
    <row r="738" spans="22:23">
      <c r="V738" s="4" t="s">
        <v>342</v>
      </c>
      <c r="W738" s="4" t="s">
        <v>1415</v>
      </c>
    </row>
    <row r="739" spans="22:23">
      <c r="V739" s="4" t="s">
        <v>342</v>
      </c>
      <c r="W739" s="4" t="s">
        <v>1416</v>
      </c>
    </row>
    <row r="740" spans="22:23">
      <c r="V740" s="4" t="s">
        <v>342</v>
      </c>
      <c r="W740" s="4" t="s">
        <v>1417</v>
      </c>
    </row>
    <row r="741" spans="22:23">
      <c r="V741" s="4" t="s">
        <v>342</v>
      </c>
      <c r="W741" s="4" t="s">
        <v>1418</v>
      </c>
    </row>
    <row r="742" spans="22:23">
      <c r="V742" s="4" t="s">
        <v>342</v>
      </c>
      <c r="W742" s="4" t="s">
        <v>1419</v>
      </c>
    </row>
    <row r="743" spans="22:23">
      <c r="V743" s="4" t="s">
        <v>342</v>
      </c>
      <c r="W743" s="4" t="s">
        <v>1420</v>
      </c>
    </row>
    <row r="744" spans="22:23">
      <c r="V744" s="4" t="s">
        <v>342</v>
      </c>
      <c r="W744" s="4" t="s">
        <v>1421</v>
      </c>
    </row>
    <row r="745" spans="22:23">
      <c r="V745" s="4" t="s">
        <v>342</v>
      </c>
      <c r="W745" s="4" t="s">
        <v>1422</v>
      </c>
    </row>
    <row r="746" spans="22:23">
      <c r="V746" s="4" t="s">
        <v>342</v>
      </c>
      <c r="W746" s="4" t="s">
        <v>1423</v>
      </c>
    </row>
    <row r="747" spans="22:23">
      <c r="V747" s="4" t="s">
        <v>342</v>
      </c>
      <c r="W747" s="4" t="s">
        <v>1424</v>
      </c>
    </row>
    <row r="748" spans="22:23">
      <c r="V748" s="4" t="s">
        <v>342</v>
      </c>
      <c r="W748" s="4" t="s">
        <v>1425</v>
      </c>
    </row>
    <row r="749" spans="22:23">
      <c r="V749" s="4" t="s">
        <v>342</v>
      </c>
      <c r="W749" s="4" t="s">
        <v>1426</v>
      </c>
    </row>
    <row r="750" spans="22:23">
      <c r="V750" s="4" t="s">
        <v>342</v>
      </c>
      <c r="W750" s="4" t="s">
        <v>1427</v>
      </c>
    </row>
    <row r="751" spans="22:23">
      <c r="V751" s="4" t="s">
        <v>342</v>
      </c>
      <c r="W751" s="4" t="s">
        <v>1428</v>
      </c>
    </row>
    <row r="752" spans="22:23">
      <c r="V752" s="4" t="s">
        <v>342</v>
      </c>
      <c r="W752" s="4" t="s">
        <v>1429</v>
      </c>
    </row>
    <row r="753" spans="22:23">
      <c r="V753" s="4" t="s">
        <v>342</v>
      </c>
      <c r="W753" s="4" t="s">
        <v>1430</v>
      </c>
    </row>
    <row r="754" spans="22:23">
      <c r="V754" s="4" t="s">
        <v>342</v>
      </c>
      <c r="W754" s="4" t="s">
        <v>1431</v>
      </c>
    </row>
    <row r="755" spans="22:23">
      <c r="V755" s="4" t="s">
        <v>342</v>
      </c>
      <c r="W755" s="4" t="s">
        <v>1432</v>
      </c>
    </row>
    <row r="756" spans="22:23">
      <c r="V756" s="4" t="s">
        <v>342</v>
      </c>
      <c r="W756" s="4" t="s">
        <v>1433</v>
      </c>
    </row>
    <row r="757" spans="22:23">
      <c r="V757" s="4" t="s">
        <v>342</v>
      </c>
      <c r="W757" s="4" t="s">
        <v>1434</v>
      </c>
    </row>
    <row r="758" spans="22:23">
      <c r="V758" s="4" t="s">
        <v>342</v>
      </c>
      <c r="W758" s="4" t="s">
        <v>1435</v>
      </c>
    </row>
    <row r="759" spans="22:23">
      <c r="V759" s="4" t="s">
        <v>342</v>
      </c>
      <c r="W759" s="4" t="s">
        <v>1436</v>
      </c>
    </row>
    <row r="760" spans="22:23">
      <c r="V760" s="4" t="s">
        <v>342</v>
      </c>
      <c r="W760" s="4" t="s">
        <v>1437</v>
      </c>
    </row>
    <row r="761" spans="22:23">
      <c r="V761" s="4" t="s">
        <v>346</v>
      </c>
      <c r="W761" s="4" t="s">
        <v>1070</v>
      </c>
    </row>
    <row r="762" spans="22:23">
      <c r="V762" s="4" t="s">
        <v>346</v>
      </c>
      <c r="W762" s="4" t="s">
        <v>1438</v>
      </c>
    </row>
    <row r="763" spans="22:23">
      <c r="V763" s="4" t="s">
        <v>346</v>
      </c>
      <c r="W763" s="4" t="s">
        <v>1439</v>
      </c>
    </row>
    <row r="764" spans="22:23">
      <c r="V764" s="4" t="s">
        <v>346</v>
      </c>
      <c r="W764" s="4" t="s">
        <v>1440</v>
      </c>
    </row>
    <row r="765" spans="22:23">
      <c r="V765" s="4" t="s">
        <v>346</v>
      </c>
      <c r="W765" s="4" t="s">
        <v>1441</v>
      </c>
    </row>
    <row r="766" spans="22:23">
      <c r="V766" s="4" t="s">
        <v>346</v>
      </c>
      <c r="W766" s="4" t="s">
        <v>1442</v>
      </c>
    </row>
    <row r="767" spans="22:23">
      <c r="V767" s="4" t="s">
        <v>346</v>
      </c>
      <c r="W767" s="4" t="s">
        <v>1443</v>
      </c>
    </row>
    <row r="768" spans="22:23">
      <c r="V768" s="4" t="s">
        <v>346</v>
      </c>
      <c r="W768" s="4" t="s">
        <v>1444</v>
      </c>
    </row>
    <row r="769" spans="22:23">
      <c r="V769" s="4" t="s">
        <v>346</v>
      </c>
      <c r="W769" s="4" t="s">
        <v>1445</v>
      </c>
    </row>
    <row r="770" spans="22:23">
      <c r="V770" s="4" t="s">
        <v>346</v>
      </c>
      <c r="W770" s="4" t="s">
        <v>1446</v>
      </c>
    </row>
    <row r="771" spans="22:23">
      <c r="V771" s="4" t="s">
        <v>346</v>
      </c>
      <c r="W771" s="4" t="s">
        <v>1447</v>
      </c>
    </row>
    <row r="772" spans="22:23">
      <c r="V772" s="4" t="s">
        <v>346</v>
      </c>
      <c r="W772" s="4" t="s">
        <v>1448</v>
      </c>
    </row>
    <row r="773" spans="22:23">
      <c r="V773" s="4" t="s">
        <v>346</v>
      </c>
      <c r="W773" s="4" t="s">
        <v>1449</v>
      </c>
    </row>
    <row r="774" spans="22:23">
      <c r="V774" s="4" t="s">
        <v>346</v>
      </c>
      <c r="W774" s="4" t="s">
        <v>1450</v>
      </c>
    </row>
    <row r="775" spans="22:23">
      <c r="V775" s="4" t="s">
        <v>346</v>
      </c>
      <c r="W775" s="4" t="s">
        <v>1069</v>
      </c>
    </row>
    <row r="776" spans="22:23">
      <c r="V776" s="4" t="s">
        <v>350</v>
      </c>
      <c r="W776" s="4" t="s">
        <v>1072</v>
      </c>
    </row>
    <row r="777" spans="22:23">
      <c r="V777" s="4" t="s">
        <v>350</v>
      </c>
      <c r="W777" s="4" t="s">
        <v>1451</v>
      </c>
    </row>
    <row r="778" spans="22:23">
      <c r="V778" s="4" t="s">
        <v>350</v>
      </c>
      <c r="W778" s="4" t="s">
        <v>1452</v>
      </c>
    </row>
    <row r="779" spans="22:23">
      <c r="V779" s="4" t="s">
        <v>350</v>
      </c>
      <c r="W779" s="4" t="s">
        <v>1453</v>
      </c>
    </row>
    <row r="780" spans="22:23">
      <c r="V780" s="4" t="s">
        <v>350</v>
      </c>
      <c r="W780" s="4" t="s">
        <v>1454</v>
      </c>
    </row>
    <row r="781" spans="22:23">
      <c r="V781" s="4" t="s">
        <v>350</v>
      </c>
      <c r="W781" s="4" t="s">
        <v>1455</v>
      </c>
    </row>
    <row r="782" spans="22:23">
      <c r="V782" s="4" t="s">
        <v>350</v>
      </c>
      <c r="W782" s="4" t="s">
        <v>1456</v>
      </c>
    </row>
    <row r="783" spans="22:23">
      <c r="V783" s="4" t="s">
        <v>350</v>
      </c>
      <c r="W783" s="4" t="s">
        <v>1457</v>
      </c>
    </row>
    <row r="784" spans="22:23">
      <c r="V784" s="4" t="s">
        <v>350</v>
      </c>
      <c r="W784" s="4" t="s">
        <v>1458</v>
      </c>
    </row>
    <row r="785" spans="22:23">
      <c r="V785" s="4" t="s">
        <v>350</v>
      </c>
      <c r="W785" s="4" t="s">
        <v>1459</v>
      </c>
    </row>
    <row r="786" spans="22:23">
      <c r="V786" s="4" t="s">
        <v>350</v>
      </c>
      <c r="W786" s="4" t="s">
        <v>1460</v>
      </c>
    </row>
    <row r="787" spans="22:23">
      <c r="V787" s="4" t="s">
        <v>350</v>
      </c>
      <c r="W787" s="4" t="s">
        <v>1461</v>
      </c>
    </row>
    <row r="788" spans="22:23">
      <c r="V788" s="4" t="s">
        <v>350</v>
      </c>
      <c r="W788" s="4" t="s">
        <v>1462</v>
      </c>
    </row>
    <row r="789" spans="22:23">
      <c r="V789" s="4" t="s">
        <v>350</v>
      </c>
      <c r="W789" s="4" t="s">
        <v>1074</v>
      </c>
    </row>
    <row r="790" spans="22:23">
      <c r="V790" s="4" t="s">
        <v>350</v>
      </c>
      <c r="W790" s="4" t="s">
        <v>1463</v>
      </c>
    </row>
    <row r="791" spans="22:23">
      <c r="V791" s="4" t="s">
        <v>350</v>
      </c>
      <c r="W791" s="4" t="s">
        <v>1464</v>
      </c>
    </row>
    <row r="792" spans="22:23">
      <c r="V792" s="4" t="s">
        <v>350</v>
      </c>
      <c r="W792" s="4" t="s">
        <v>1465</v>
      </c>
    </row>
    <row r="793" spans="22:23">
      <c r="V793" s="4" t="s">
        <v>350</v>
      </c>
      <c r="W793" s="4" t="s">
        <v>1466</v>
      </c>
    </row>
    <row r="794" spans="22:23">
      <c r="V794" s="4" t="s">
        <v>350</v>
      </c>
      <c r="W794" s="4" t="s">
        <v>1467</v>
      </c>
    </row>
    <row r="795" spans="22:23">
      <c r="V795" s="4" t="s">
        <v>354</v>
      </c>
      <c r="W795" s="4" t="s">
        <v>1076</v>
      </c>
    </row>
    <row r="796" spans="22:23">
      <c r="V796" s="4" t="s">
        <v>354</v>
      </c>
      <c r="W796" s="4" t="s">
        <v>1468</v>
      </c>
    </row>
    <row r="797" spans="22:23">
      <c r="V797" s="4" t="s">
        <v>354</v>
      </c>
      <c r="W797" s="4" t="s">
        <v>1469</v>
      </c>
    </row>
    <row r="798" spans="22:23">
      <c r="V798" s="4" t="s">
        <v>354</v>
      </c>
      <c r="W798" s="4" t="s">
        <v>1470</v>
      </c>
    </row>
    <row r="799" spans="22:23">
      <c r="V799" s="4" t="s">
        <v>354</v>
      </c>
      <c r="W799" s="4" t="s">
        <v>1471</v>
      </c>
    </row>
    <row r="800" spans="22:23">
      <c r="V800" s="4" t="s">
        <v>354</v>
      </c>
      <c r="W800" s="4" t="s">
        <v>1472</v>
      </c>
    </row>
    <row r="801" spans="22:23">
      <c r="V801" s="4" t="s">
        <v>354</v>
      </c>
      <c r="W801" s="4" t="s">
        <v>1473</v>
      </c>
    </row>
    <row r="802" spans="22:23">
      <c r="V802" s="4" t="s">
        <v>354</v>
      </c>
      <c r="W802" s="4" t="s">
        <v>1474</v>
      </c>
    </row>
    <row r="803" spans="22:23">
      <c r="V803" s="4" t="s">
        <v>354</v>
      </c>
      <c r="W803" s="4" t="s">
        <v>1475</v>
      </c>
    </row>
    <row r="804" spans="22:23">
      <c r="V804" s="4" t="s">
        <v>354</v>
      </c>
      <c r="W804" s="4" t="s">
        <v>1476</v>
      </c>
    </row>
    <row r="805" spans="22:23">
      <c r="V805" s="4" t="s">
        <v>354</v>
      </c>
      <c r="W805" s="4" t="s">
        <v>724</v>
      </c>
    </row>
    <row r="806" spans="22:23">
      <c r="V806" s="4" t="s">
        <v>354</v>
      </c>
      <c r="W806" s="4" t="s">
        <v>1477</v>
      </c>
    </row>
    <row r="807" spans="22:23">
      <c r="V807" s="4" t="s">
        <v>354</v>
      </c>
      <c r="W807" s="4" t="s">
        <v>1478</v>
      </c>
    </row>
    <row r="808" spans="22:23">
      <c r="V808" s="4" t="s">
        <v>354</v>
      </c>
      <c r="W808" s="4" t="s">
        <v>1479</v>
      </c>
    </row>
    <row r="809" spans="22:23">
      <c r="V809" s="4" t="s">
        <v>354</v>
      </c>
      <c r="W809" s="4" t="s">
        <v>1480</v>
      </c>
    </row>
    <row r="810" spans="22:23">
      <c r="V810" s="4" t="s">
        <v>354</v>
      </c>
      <c r="W810" s="4" t="s">
        <v>1481</v>
      </c>
    </row>
    <row r="811" spans="22:23">
      <c r="V811" s="4" t="s">
        <v>354</v>
      </c>
      <c r="W811" s="4" t="s">
        <v>1482</v>
      </c>
    </row>
    <row r="812" spans="22:23">
      <c r="V812" s="4" t="s">
        <v>359</v>
      </c>
      <c r="W812" s="4" t="s">
        <v>1078</v>
      </c>
    </row>
    <row r="813" spans="22:23">
      <c r="V813" s="4" t="s">
        <v>359</v>
      </c>
      <c r="W813" s="4" t="s">
        <v>1483</v>
      </c>
    </row>
    <row r="814" spans="22:23">
      <c r="V814" s="4" t="s">
        <v>359</v>
      </c>
      <c r="W814" s="4" t="s">
        <v>1484</v>
      </c>
    </row>
    <row r="815" spans="22:23">
      <c r="V815" s="4" t="s">
        <v>359</v>
      </c>
      <c r="W815" s="4" t="s">
        <v>1485</v>
      </c>
    </row>
    <row r="816" spans="22:23">
      <c r="V816" s="4" t="s">
        <v>359</v>
      </c>
      <c r="W816" s="4" t="s">
        <v>1486</v>
      </c>
    </row>
    <row r="817" spans="22:23">
      <c r="V817" s="4" t="s">
        <v>359</v>
      </c>
      <c r="W817" s="4" t="s">
        <v>1487</v>
      </c>
    </row>
    <row r="818" spans="22:23">
      <c r="V818" s="4" t="s">
        <v>359</v>
      </c>
      <c r="W818" s="4" t="s">
        <v>1488</v>
      </c>
    </row>
    <row r="819" spans="22:23">
      <c r="V819" s="4" t="s">
        <v>359</v>
      </c>
      <c r="W819" s="4" t="s">
        <v>1489</v>
      </c>
    </row>
    <row r="820" spans="22:23">
      <c r="V820" s="4" t="s">
        <v>359</v>
      </c>
      <c r="W820" s="4" t="s">
        <v>1490</v>
      </c>
    </row>
    <row r="821" spans="22:23">
      <c r="V821" s="4" t="s">
        <v>359</v>
      </c>
      <c r="W821" s="4" t="s">
        <v>1491</v>
      </c>
    </row>
    <row r="822" spans="22:23">
      <c r="V822" s="4" t="s">
        <v>359</v>
      </c>
      <c r="W822" s="4" t="s">
        <v>1492</v>
      </c>
    </row>
    <row r="823" spans="22:23">
      <c r="V823" s="4" t="s">
        <v>359</v>
      </c>
      <c r="W823" s="4" t="s">
        <v>1493</v>
      </c>
    </row>
    <row r="824" spans="22:23">
      <c r="V824" s="4" t="s">
        <v>359</v>
      </c>
      <c r="W824" s="4" t="s">
        <v>1494</v>
      </c>
    </row>
    <row r="825" spans="22:23">
      <c r="V825" s="4" t="s">
        <v>359</v>
      </c>
      <c r="W825" s="4" t="s">
        <v>1495</v>
      </c>
    </row>
    <row r="826" spans="22:23">
      <c r="V826" s="4" t="s">
        <v>359</v>
      </c>
      <c r="W826" s="4" t="s">
        <v>1496</v>
      </c>
    </row>
    <row r="827" spans="22:23">
      <c r="V827" s="4" t="s">
        <v>359</v>
      </c>
      <c r="W827" s="4" t="s">
        <v>1497</v>
      </c>
    </row>
    <row r="828" spans="22:23">
      <c r="V828" s="4" t="s">
        <v>359</v>
      </c>
      <c r="W828" s="4" t="s">
        <v>844</v>
      </c>
    </row>
    <row r="829" spans="22:23">
      <c r="V829" s="4" t="s">
        <v>359</v>
      </c>
      <c r="W829" s="4" t="s">
        <v>1498</v>
      </c>
    </row>
    <row r="830" spans="22:23">
      <c r="V830" s="4" t="s">
        <v>359</v>
      </c>
      <c r="W830" s="4" t="s">
        <v>1499</v>
      </c>
    </row>
    <row r="831" spans="22:23">
      <c r="V831" s="4" t="s">
        <v>359</v>
      </c>
      <c r="W831" s="4" t="s">
        <v>1500</v>
      </c>
    </row>
    <row r="832" spans="22:23">
      <c r="V832" s="4" t="s">
        <v>359</v>
      </c>
      <c r="W832" s="4" t="s">
        <v>1501</v>
      </c>
    </row>
    <row r="833" spans="22:23">
      <c r="V833" s="4" t="s">
        <v>359</v>
      </c>
      <c r="W833" s="4" t="s">
        <v>1502</v>
      </c>
    </row>
    <row r="834" spans="22:23">
      <c r="V834" s="4" t="s">
        <v>359</v>
      </c>
      <c r="W834" s="4" t="s">
        <v>1503</v>
      </c>
    </row>
    <row r="835" spans="22:23">
      <c r="V835" s="4" t="s">
        <v>359</v>
      </c>
      <c r="W835" s="4" t="s">
        <v>1504</v>
      </c>
    </row>
    <row r="836" spans="22:23">
      <c r="V836" s="4" t="s">
        <v>359</v>
      </c>
      <c r="W836" s="4" t="s">
        <v>1505</v>
      </c>
    </row>
    <row r="837" spans="22:23">
      <c r="V837" s="4" t="s">
        <v>359</v>
      </c>
      <c r="W837" s="4" t="s">
        <v>1506</v>
      </c>
    </row>
    <row r="838" spans="22:23">
      <c r="V838" s="4" t="s">
        <v>359</v>
      </c>
      <c r="W838" s="4" t="s">
        <v>1507</v>
      </c>
    </row>
    <row r="839" spans="22:23">
      <c r="V839" s="4" t="s">
        <v>363</v>
      </c>
      <c r="W839" s="4" t="s">
        <v>1084</v>
      </c>
    </row>
    <row r="840" spans="22:23">
      <c r="V840" s="4" t="s">
        <v>363</v>
      </c>
      <c r="W840" s="4" t="s">
        <v>1086</v>
      </c>
    </row>
    <row r="841" spans="22:23">
      <c r="V841" s="4" t="s">
        <v>363</v>
      </c>
      <c r="W841" s="4" t="s">
        <v>1508</v>
      </c>
    </row>
    <row r="842" spans="22:23">
      <c r="V842" s="4" t="s">
        <v>363</v>
      </c>
      <c r="W842" s="4" t="s">
        <v>1509</v>
      </c>
    </row>
    <row r="843" spans="22:23">
      <c r="V843" s="4" t="s">
        <v>363</v>
      </c>
      <c r="W843" s="4" t="s">
        <v>1510</v>
      </c>
    </row>
    <row r="844" spans="22:23">
      <c r="V844" s="4" t="s">
        <v>363</v>
      </c>
      <c r="W844" s="4" t="s">
        <v>1511</v>
      </c>
    </row>
    <row r="845" spans="22:23">
      <c r="V845" s="4" t="s">
        <v>363</v>
      </c>
      <c r="W845" s="4" t="s">
        <v>1512</v>
      </c>
    </row>
    <row r="846" spans="22:23">
      <c r="V846" s="4" t="s">
        <v>363</v>
      </c>
      <c r="W846" s="4" t="s">
        <v>1513</v>
      </c>
    </row>
    <row r="847" spans="22:23">
      <c r="V847" s="4" t="s">
        <v>363</v>
      </c>
      <c r="W847" s="4" t="s">
        <v>1514</v>
      </c>
    </row>
    <row r="848" spans="22:23">
      <c r="V848" s="4" t="s">
        <v>363</v>
      </c>
      <c r="W848" s="4" t="s">
        <v>1515</v>
      </c>
    </row>
    <row r="849" spans="22:23">
      <c r="V849" s="4" t="s">
        <v>363</v>
      </c>
      <c r="W849" s="4" t="s">
        <v>1516</v>
      </c>
    </row>
    <row r="850" spans="22:23">
      <c r="V850" s="4" t="s">
        <v>363</v>
      </c>
      <c r="W850" s="4" t="s">
        <v>1517</v>
      </c>
    </row>
    <row r="851" spans="22:23">
      <c r="V851" s="4" t="s">
        <v>363</v>
      </c>
      <c r="W851" s="4" t="s">
        <v>1518</v>
      </c>
    </row>
    <row r="852" spans="22:23">
      <c r="V852" s="4" t="s">
        <v>363</v>
      </c>
      <c r="W852" s="4" t="s">
        <v>1519</v>
      </c>
    </row>
    <row r="853" spans="22:23">
      <c r="V853" s="4" t="s">
        <v>363</v>
      </c>
      <c r="W853" s="4" t="s">
        <v>1088</v>
      </c>
    </row>
    <row r="854" spans="22:23">
      <c r="V854" s="4" t="s">
        <v>363</v>
      </c>
      <c r="W854" s="4" t="s">
        <v>1520</v>
      </c>
    </row>
    <row r="855" spans="22:23">
      <c r="V855" s="4" t="s">
        <v>363</v>
      </c>
      <c r="W855" s="4" t="s">
        <v>1521</v>
      </c>
    </row>
    <row r="856" spans="22:23">
      <c r="V856" s="4" t="s">
        <v>363</v>
      </c>
      <c r="W856" s="4" t="s">
        <v>1522</v>
      </c>
    </row>
    <row r="857" spans="22:23">
      <c r="V857" s="4" t="s">
        <v>363</v>
      </c>
      <c r="W857" s="4" t="s">
        <v>1523</v>
      </c>
    </row>
    <row r="858" spans="22:23">
      <c r="V858" s="4" t="s">
        <v>363</v>
      </c>
      <c r="W858" s="4" t="s">
        <v>1524</v>
      </c>
    </row>
    <row r="859" spans="22:23">
      <c r="V859" s="4" t="s">
        <v>363</v>
      </c>
      <c r="W859" s="4" t="s">
        <v>1525</v>
      </c>
    </row>
    <row r="860" spans="22:23">
      <c r="V860" s="4" t="s">
        <v>363</v>
      </c>
      <c r="W860" s="4" t="s">
        <v>1303</v>
      </c>
    </row>
    <row r="861" spans="22:23">
      <c r="V861" s="4" t="s">
        <v>363</v>
      </c>
      <c r="W861" s="4" t="s">
        <v>1526</v>
      </c>
    </row>
    <row r="862" spans="22:23">
      <c r="V862" s="4" t="s">
        <v>363</v>
      </c>
      <c r="W862" s="4" t="s">
        <v>1527</v>
      </c>
    </row>
    <row r="863" spans="22:23">
      <c r="V863" s="4" t="s">
        <v>363</v>
      </c>
      <c r="W863" s="4" t="s">
        <v>1528</v>
      </c>
    </row>
    <row r="864" spans="22:23">
      <c r="V864" s="4" t="s">
        <v>363</v>
      </c>
      <c r="W864" s="4" t="s">
        <v>1529</v>
      </c>
    </row>
    <row r="865" spans="22:23">
      <c r="V865" s="4" t="s">
        <v>363</v>
      </c>
      <c r="W865" s="4" t="s">
        <v>1530</v>
      </c>
    </row>
    <row r="866" spans="22:23">
      <c r="V866" s="4" t="s">
        <v>363</v>
      </c>
      <c r="W866" s="4" t="s">
        <v>1531</v>
      </c>
    </row>
    <row r="867" spans="22:23">
      <c r="V867" s="4" t="s">
        <v>363</v>
      </c>
      <c r="W867" s="4" t="s">
        <v>1532</v>
      </c>
    </row>
    <row r="868" spans="22:23">
      <c r="V868" s="4" t="s">
        <v>363</v>
      </c>
      <c r="W868" s="4" t="s">
        <v>1533</v>
      </c>
    </row>
    <row r="869" spans="22:23">
      <c r="V869" s="4" t="s">
        <v>363</v>
      </c>
      <c r="W869" s="4" t="s">
        <v>1534</v>
      </c>
    </row>
    <row r="870" spans="22:23">
      <c r="V870" s="4" t="s">
        <v>363</v>
      </c>
      <c r="W870" s="4" t="s">
        <v>1535</v>
      </c>
    </row>
    <row r="871" spans="22:23">
      <c r="V871" s="4" t="s">
        <v>363</v>
      </c>
      <c r="W871" s="4" t="s">
        <v>1536</v>
      </c>
    </row>
    <row r="872" spans="22:23">
      <c r="V872" s="4" t="s">
        <v>363</v>
      </c>
      <c r="W872" s="4" t="s">
        <v>1537</v>
      </c>
    </row>
    <row r="873" spans="22:23">
      <c r="V873" s="4" t="s">
        <v>363</v>
      </c>
      <c r="W873" s="4" t="s">
        <v>1538</v>
      </c>
    </row>
    <row r="874" spans="22:23">
      <c r="V874" s="4" t="s">
        <v>363</v>
      </c>
      <c r="W874" s="4" t="s">
        <v>1539</v>
      </c>
    </row>
    <row r="875" spans="22:23">
      <c r="V875" s="4" t="s">
        <v>363</v>
      </c>
      <c r="W875" s="4" t="s">
        <v>1540</v>
      </c>
    </row>
    <row r="876" spans="22:23">
      <c r="V876" s="4" t="s">
        <v>363</v>
      </c>
      <c r="W876" s="4" t="s">
        <v>1541</v>
      </c>
    </row>
    <row r="877" spans="22:23">
      <c r="V877" s="4" t="s">
        <v>363</v>
      </c>
      <c r="W877" s="4" t="s">
        <v>1542</v>
      </c>
    </row>
    <row r="878" spans="22:23">
      <c r="V878" s="4" t="s">
        <v>363</v>
      </c>
      <c r="W878" s="4" t="s">
        <v>1543</v>
      </c>
    </row>
    <row r="879" spans="22:23">
      <c r="V879" s="4" t="s">
        <v>363</v>
      </c>
      <c r="W879" s="4" t="s">
        <v>1544</v>
      </c>
    </row>
    <row r="880" spans="22:23">
      <c r="V880" s="4" t="s">
        <v>363</v>
      </c>
      <c r="W880" s="4" t="s">
        <v>1545</v>
      </c>
    </row>
    <row r="881" spans="22:23">
      <c r="V881" s="4" t="s">
        <v>363</v>
      </c>
      <c r="W881" s="4" t="s">
        <v>1546</v>
      </c>
    </row>
    <row r="882" spans="22:23">
      <c r="V882" s="4" t="s">
        <v>363</v>
      </c>
      <c r="W882" s="4" t="s">
        <v>1547</v>
      </c>
    </row>
    <row r="883" spans="22:23">
      <c r="V883" s="4" t="s">
        <v>363</v>
      </c>
      <c r="W883" s="4" t="s">
        <v>1548</v>
      </c>
    </row>
    <row r="884" spans="22:23">
      <c r="V884" s="4" t="s">
        <v>363</v>
      </c>
      <c r="W884" s="4" t="s">
        <v>1549</v>
      </c>
    </row>
    <row r="885" spans="22:23">
      <c r="V885" s="4" t="s">
        <v>363</v>
      </c>
      <c r="W885" s="4" t="s">
        <v>1550</v>
      </c>
    </row>
    <row r="886" spans="22:23">
      <c r="V886" s="4" t="s">
        <v>363</v>
      </c>
      <c r="W886" s="4" t="s">
        <v>1551</v>
      </c>
    </row>
    <row r="887" spans="22:23">
      <c r="V887" s="4" t="s">
        <v>363</v>
      </c>
      <c r="W887" s="4" t="s">
        <v>1552</v>
      </c>
    </row>
    <row r="888" spans="22:23">
      <c r="V888" s="4" t="s">
        <v>363</v>
      </c>
      <c r="W888" s="4" t="s">
        <v>1553</v>
      </c>
    </row>
    <row r="889" spans="22:23">
      <c r="V889" s="4" t="s">
        <v>363</v>
      </c>
      <c r="W889" s="4" t="s">
        <v>1554</v>
      </c>
    </row>
    <row r="890" spans="22:23">
      <c r="V890" s="4" t="s">
        <v>363</v>
      </c>
      <c r="W890" s="4" t="s">
        <v>1555</v>
      </c>
    </row>
    <row r="891" spans="22:23">
      <c r="V891" s="4" t="s">
        <v>363</v>
      </c>
      <c r="W891" s="4" t="s">
        <v>1556</v>
      </c>
    </row>
    <row r="892" spans="22:23">
      <c r="V892" s="4" t="s">
        <v>363</v>
      </c>
      <c r="W892" s="4" t="s">
        <v>1557</v>
      </c>
    </row>
    <row r="893" spans="22:23">
      <c r="V893" s="4" t="s">
        <v>363</v>
      </c>
      <c r="W893" s="4" t="s">
        <v>1558</v>
      </c>
    </row>
    <row r="894" spans="22:23">
      <c r="V894" s="4" t="s">
        <v>363</v>
      </c>
      <c r="W894" s="4" t="s">
        <v>1559</v>
      </c>
    </row>
    <row r="895" spans="22:23">
      <c r="V895" s="4" t="s">
        <v>363</v>
      </c>
      <c r="W895" s="4" t="s">
        <v>1560</v>
      </c>
    </row>
    <row r="896" spans="22:23">
      <c r="V896" s="4" t="s">
        <v>363</v>
      </c>
      <c r="W896" s="4" t="s">
        <v>1561</v>
      </c>
    </row>
    <row r="897" spans="22:23">
      <c r="V897" s="4" t="s">
        <v>363</v>
      </c>
      <c r="W897" s="4" t="s">
        <v>1562</v>
      </c>
    </row>
    <row r="898" spans="22:23">
      <c r="V898" s="4" t="s">
        <v>363</v>
      </c>
      <c r="W898" s="4" t="s">
        <v>1563</v>
      </c>
    </row>
    <row r="899" spans="22:23">
      <c r="V899" s="4" t="s">
        <v>363</v>
      </c>
      <c r="W899" s="4" t="s">
        <v>1564</v>
      </c>
    </row>
    <row r="900" spans="22:23">
      <c r="V900" s="4" t="s">
        <v>363</v>
      </c>
      <c r="W900" s="4" t="s">
        <v>1565</v>
      </c>
    </row>
    <row r="901" spans="22:23">
      <c r="V901" s="4" t="s">
        <v>363</v>
      </c>
      <c r="W901" s="4" t="s">
        <v>1566</v>
      </c>
    </row>
    <row r="902" spans="22:23">
      <c r="V902" s="4" t="s">
        <v>363</v>
      </c>
      <c r="W902" s="4" t="s">
        <v>724</v>
      </c>
    </row>
    <row r="903" spans="22:23">
      <c r="V903" s="4" t="s">
        <v>363</v>
      </c>
      <c r="W903" s="4" t="s">
        <v>1567</v>
      </c>
    </row>
    <row r="904" spans="22:23">
      <c r="V904" s="4" t="s">
        <v>363</v>
      </c>
      <c r="W904" s="4" t="s">
        <v>1568</v>
      </c>
    </row>
    <row r="905" spans="22:23">
      <c r="V905" s="4" t="s">
        <v>363</v>
      </c>
      <c r="W905" s="4" t="s">
        <v>1569</v>
      </c>
    </row>
    <row r="906" spans="22:23">
      <c r="V906" s="4" t="s">
        <v>363</v>
      </c>
      <c r="W906" s="4" t="s">
        <v>1570</v>
      </c>
    </row>
    <row r="907" spans="22:23">
      <c r="V907" s="4" t="s">
        <v>363</v>
      </c>
      <c r="W907" s="4" t="s">
        <v>1571</v>
      </c>
    </row>
    <row r="908" spans="22:23">
      <c r="V908" s="4" t="s">
        <v>363</v>
      </c>
      <c r="W908" s="4" t="s">
        <v>1309</v>
      </c>
    </row>
    <row r="909" spans="22:23">
      <c r="V909" s="4" t="s">
        <v>363</v>
      </c>
      <c r="W909" s="4" t="s">
        <v>1572</v>
      </c>
    </row>
    <row r="910" spans="22:23">
      <c r="V910" s="4" t="s">
        <v>363</v>
      </c>
      <c r="W910" s="4" t="s">
        <v>1573</v>
      </c>
    </row>
    <row r="911" spans="22:23">
      <c r="V911" s="4" t="s">
        <v>363</v>
      </c>
      <c r="W911" s="4" t="s">
        <v>1574</v>
      </c>
    </row>
    <row r="912" spans="22:23">
      <c r="V912" s="4" t="s">
        <v>363</v>
      </c>
      <c r="W912" s="4" t="s">
        <v>1575</v>
      </c>
    </row>
    <row r="913" spans="22:23">
      <c r="V913" s="4" t="s">
        <v>363</v>
      </c>
      <c r="W913" s="4" t="s">
        <v>1576</v>
      </c>
    </row>
    <row r="914" spans="22:23">
      <c r="V914" s="4" t="s">
        <v>363</v>
      </c>
      <c r="W914" s="4" t="s">
        <v>1577</v>
      </c>
    </row>
    <row r="915" spans="22:23">
      <c r="V915" s="4" t="s">
        <v>363</v>
      </c>
      <c r="W915" s="4" t="s">
        <v>1578</v>
      </c>
    </row>
    <row r="916" spans="22:23">
      <c r="V916" s="4" t="s">
        <v>368</v>
      </c>
      <c r="W916" s="4" t="s">
        <v>799</v>
      </c>
    </row>
    <row r="917" spans="22:23">
      <c r="V917" s="4" t="s">
        <v>368</v>
      </c>
      <c r="W917" s="4" t="s">
        <v>1090</v>
      </c>
    </row>
    <row r="918" spans="22:23">
      <c r="V918" s="4" t="s">
        <v>368</v>
      </c>
      <c r="W918" s="4" t="s">
        <v>1579</v>
      </c>
    </row>
    <row r="919" spans="22:23">
      <c r="V919" s="4" t="s">
        <v>368</v>
      </c>
      <c r="W919" s="4" t="s">
        <v>1092</v>
      </c>
    </row>
    <row r="920" spans="22:23">
      <c r="V920" s="4" t="s">
        <v>368</v>
      </c>
      <c r="W920" s="4" t="s">
        <v>1580</v>
      </c>
    </row>
    <row r="921" spans="22:23">
      <c r="V921" s="4" t="s">
        <v>368</v>
      </c>
      <c r="W921" s="4" t="s">
        <v>1581</v>
      </c>
    </row>
    <row r="922" spans="22:23">
      <c r="V922" s="4" t="s">
        <v>368</v>
      </c>
      <c r="W922" s="4" t="s">
        <v>1582</v>
      </c>
    </row>
    <row r="923" spans="22:23">
      <c r="V923" s="4" t="s">
        <v>368</v>
      </c>
      <c r="W923" s="4" t="s">
        <v>1583</v>
      </c>
    </row>
    <row r="924" spans="22:23">
      <c r="V924" s="4" t="s">
        <v>368</v>
      </c>
      <c r="W924" s="4" t="s">
        <v>1584</v>
      </c>
    </row>
    <row r="925" spans="22:23">
      <c r="V925" s="4" t="s">
        <v>368</v>
      </c>
      <c r="W925" s="4" t="s">
        <v>1585</v>
      </c>
    </row>
    <row r="926" spans="22:23">
      <c r="V926" s="4" t="s">
        <v>368</v>
      </c>
      <c r="W926" s="4" t="s">
        <v>1586</v>
      </c>
    </row>
    <row r="927" spans="22:23">
      <c r="V927" s="4" t="s">
        <v>368</v>
      </c>
      <c r="W927" s="4" t="s">
        <v>1587</v>
      </c>
    </row>
    <row r="928" spans="22:23">
      <c r="V928" s="4" t="s">
        <v>368</v>
      </c>
      <c r="W928" s="4" t="s">
        <v>1096</v>
      </c>
    </row>
    <row r="929" spans="22:23">
      <c r="V929" s="4" t="s">
        <v>368</v>
      </c>
      <c r="W929" s="4" t="s">
        <v>1098</v>
      </c>
    </row>
    <row r="930" spans="22:23">
      <c r="V930" s="4" t="s">
        <v>368</v>
      </c>
      <c r="W930" s="4" t="s">
        <v>1588</v>
      </c>
    </row>
    <row r="931" spans="22:23">
      <c r="V931" s="4" t="s">
        <v>368</v>
      </c>
      <c r="W931" s="4" t="s">
        <v>1589</v>
      </c>
    </row>
    <row r="932" spans="22:23">
      <c r="V932" s="4" t="s">
        <v>368</v>
      </c>
      <c r="W932" s="4" t="s">
        <v>1590</v>
      </c>
    </row>
    <row r="933" spans="22:23">
      <c r="V933" s="4" t="s">
        <v>368</v>
      </c>
      <c r="W933" s="4" t="s">
        <v>1591</v>
      </c>
    </row>
    <row r="934" spans="22:23">
      <c r="V934" s="4" t="s">
        <v>368</v>
      </c>
      <c r="W934" s="4" t="s">
        <v>1592</v>
      </c>
    </row>
    <row r="935" spans="22:23">
      <c r="V935" s="4" t="s">
        <v>368</v>
      </c>
      <c r="W935" s="4" t="s">
        <v>1593</v>
      </c>
    </row>
    <row r="936" spans="22:23">
      <c r="V936" s="4" t="s">
        <v>368</v>
      </c>
      <c r="W936" s="4" t="s">
        <v>1594</v>
      </c>
    </row>
    <row r="937" spans="22:23">
      <c r="V937" s="4" t="s">
        <v>368</v>
      </c>
      <c r="W937" s="4" t="s">
        <v>1595</v>
      </c>
    </row>
    <row r="938" spans="22:23">
      <c r="V938" s="4" t="s">
        <v>368</v>
      </c>
      <c r="W938" s="4" t="s">
        <v>1596</v>
      </c>
    </row>
    <row r="939" spans="22:23">
      <c r="V939" s="4" t="s">
        <v>368</v>
      </c>
      <c r="W939" s="4" t="s">
        <v>1597</v>
      </c>
    </row>
    <row r="940" spans="22:23">
      <c r="V940" s="4" t="s">
        <v>368</v>
      </c>
      <c r="W940" s="4" t="s">
        <v>1598</v>
      </c>
    </row>
    <row r="941" spans="22:23">
      <c r="V941" s="4" t="s">
        <v>368</v>
      </c>
      <c r="W941" s="4" t="s">
        <v>1599</v>
      </c>
    </row>
    <row r="942" spans="22:23">
      <c r="V942" s="4" t="s">
        <v>368</v>
      </c>
      <c r="W942" s="4" t="s">
        <v>1600</v>
      </c>
    </row>
    <row r="943" spans="22:23">
      <c r="V943" s="4" t="s">
        <v>368</v>
      </c>
      <c r="W943" s="4" t="s">
        <v>1601</v>
      </c>
    </row>
    <row r="944" spans="22:23">
      <c r="V944" s="4" t="s">
        <v>368</v>
      </c>
      <c r="W944" s="4" t="s">
        <v>1602</v>
      </c>
    </row>
    <row r="945" spans="22:23">
      <c r="V945" s="4" t="s">
        <v>368</v>
      </c>
      <c r="W945" s="4" t="s">
        <v>1603</v>
      </c>
    </row>
    <row r="946" spans="22:23">
      <c r="V946" s="4" t="s">
        <v>368</v>
      </c>
      <c r="W946" s="4" t="s">
        <v>1604</v>
      </c>
    </row>
    <row r="947" spans="22:23">
      <c r="V947" s="4" t="s">
        <v>368</v>
      </c>
      <c r="W947" s="4" t="s">
        <v>724</v>
      </c>
    </row>
    <row r="948" spans="22:23">
      <c r="V948" s="4" t="s">
        <v>368</v>
      </c>
      <c r="W948" s="4" t="s">
        <v>1605</v>
      </c>
    </row>
    <row r="949" spans="22:23">
      <c r="V949" s="4" t="s">
        <v>368</v>
      </c>
      <c r="W949" s="4" t="s">
        <v>1606</v>
      </c>
    </row>
    <row r="950" spans="22:23">
      <c r="V950" s="4" t="s">
        <v>368</v>
      </c>
      <c r="W950" s="4" t="s">
        <v>1607</v>
      </c>
    </row>
    <row r="951" spans="22:23">
      <c r="V951" s="4" t="s">
        <v>368</v>
      </c>
      <c r="W951" s="4" t="s">
        <v>1608</v>
      </c>
    </row>
    <row r="952" spans="22:23">
      <c r="V952" s="4" t="s">
        <v>368</v>
      </c>
      <c r="W952" s="4" t="s">
        <v>1609</v>
      </c>
    </row>
    <row r="953" spans="22:23">
      <c r="V953" s="4" t="s">
        <v>368</v>
      </c>
      <c r="W953" s="4" t="s">
        <v>1610</v>
      </c>
    </row>
    <row r="954" spans="22:23">
      <c r="V954" s="4" t="s">
        <v>368</v>
      </c>
      <c r="W954" s="4" t="s">
        <v>1611</v>
      </c>
    </row>
    <row r="955" spans="22:23">
      <c r="V955" s="4" t="s">
        <v>368</v>
      </c>
      <c r="W955" s="4" t="s">
        <v>1612</v>
      </c>
    </row>
    <row r="956" spans="22:23">
      <c r="V956" s="4" t="s">
        <v>368</v>
      </c>
      <c r="W956" s="4" t="s">
        <v>1613</v>
      </c>
    </row>
    <row r="957" spans="22:23">
      <c r="V957" s="4" t="s">
        <v>368</v>
      </c>
      <c r="W957" s="4" t="s">
        <v>1614</v>
      </c>
    </row>
    <row r="958" spans="22:23">
      <c r="V958" s="4" t="s">
        <v>372</v>
      </c>
      <c r="W958" s="4" t="s">
        <v>801</v>
      </c>
    </row>
    <row r="959" spans="22:23">
      <c r="V959" s="4" t="s">
        <v>372</v>
      </c>
      <c r="W959" s="4" t="s">
        <v>1100</v>
      </c>
    </row>
    <row r="960" spans="22:23">
      <c r="V960" s="4" t="s">
        <v>372</v>
      </c>
      <c r="W960" s="4" t="s">
        <v>1102</v>
      </c>
    </row>
    <row r="961" spans="22:23">
      <c r="V961" s="4" t="s">
        <v>372</v>
      </c>
      <c r="W961" s="4" t="s">
        <v>1615</v>
      </c>
    </row>
    <row r="962" spans="22:23">
      <c r="V962" s="4" t="s">
        <v>372</v>
      </c>
      <c r="W962" s="4" t="s">
        <v>1104</v>
      </c>
    </row>
    <row r="963" spans="22:23">
      <c r="V963" s="4" t="s">
        <v>372</v>
      </c>
      <c r="W963" s="4" t="s">
        <v>1106</v>
      </c>
    </row>
    <row r="964" spans="22:23">
      <c r="V964" s="4" t="s">
        <v>372</v>
      </c>
      <c r="W964" s="4" t="s">
        <v>1616</v>
      </c>
    </row>
    <row r="965" spans="22:23">
      <c r="V965" s="4" t="s">
        <v>372</v>
      </c>
      <c r="W965" s="4" t="s">
        <v>1108</v>
      </c>
    </row>
    <row r="966" spans="22:23">
      <c r="V966" s="4" t="s">
        <v>372</v>
      </c>
      <c r="W966" s="4" t="s">
        <v>1110</v>
      </c>
    </row>
    <row r="967" spans="22:23">
      <c r="V967" s="4" t="s">
        <v>372</v>
      </c>
      <c r="W967" s="4" t="s">
        <v>1112</v>
      </c>
    </row>
    <row r="968" spans="22:23">
      <c r="V968" s="4" t="s">
        <v>372</v>
      </c>
      <c r="W968" s="4" t="s">
        <v>1114</v>
      </c>
    </row>
    <row r="969" spans="22:23">
      <c r="V969" s="4" t="s">
        <v>372</v>
      </c>
      <c r="W969" s="4" t="s">
        <v>1116</v>
      </c>
    </row>
    <row r="970" spans="22:23">
      <c r="V970" s="4" t="s">
        <v>372</v>
      </c>
      <c r="W970" s="4" t="s">
        <v>1118</v>
      </c>
    </row>
    <row r="971" spans="22:23">
      <c r="V971" s="4" t="s">
        <v>372</v>
      </c>
      <c r="W971" s="4" t="s">
        <v>1120</v>
      </c>
    </row>
    <row r="972" spans="22:23">
      <c r="V972" s="4" t="s">
        <v>372</v>
      </c>
      <c r="W972" s="4" t="s">
        <v>1122</v>
      </c>
    </row>
    <row r="973" spans="22:23">
      <c r="V973" s="4" t="s">
        <v>372</v>
      </c>
      <c r="W973" s="4" t="s">
        <v>1617</v>
      </c>
    </row>
    <row r="974" spans="22:23">
      <c r="V974" s="4" t="s">
        <v>372</v>
      </c>
      <c r="W974" s="4" t="s">
        <v>1124</v>
      </c>
    </row>
    <row r="975" spans="22:23">
      <c r="V975" s="4" t="s">
        <v>372</v>
      </c>
      <c r="W975" s="4" t="s">
        <v>1618</v>
      </c>
    </row>
    <row r="976" spans="22:23">
      <c r="V976" s="4" t="s">
        <v>372</v>
      </c>
      <c r="W976" s="4" t="s">
        <v>1619</v>
      </c>
    </row>
    <row r="977" spans="22:23">
      <c r="V977" s="4" t="s">
        <v>372</v>
      </c>
      <c r="W977" s="4" t="s">
        <v>1620</v>
      </c>
    </row>
    <row r="978" spans="22:23">
      <c r="V978" s="4" t="s">
        <v>372</v>
      </c>
      <c r="W978" s="4" t="s">
        <v>1621</v>
      </c>
    </row>
    <row r="979" spans="22:23">
      <c r="V979" s="4" t="s">
        <v>372</v>
      </c>
      <c r="W979" s="4" t="s">
        <v>1622</v>
      </c>
    </row>
    <row r="980" spans="22:23">
      <c r="V980" s="4" t="s">
        <v>372</v>
      </c>
      <c r="W980" s="4" t="s">
        <v>1623</v>
      </c>
    </row>
    <row r="981" spans="22:23">
      <c r="V981" s="4" t="s">
        <v>372</v>
      </c>
      <c r="W981" s="4" t="s">
        <v>1624</v>
      </c>
    </row>
    <row r="982" spans="22:23">
      <c r="V982" s="4" t="s">
        <v>372</v>
      </c>
      <c r="W982" s="4" t="s">
        <v>1625</v>
      </c>
    </row>
    <row r="983" spans="22:23">
      <c r="V983" s="4" t="s">
        <v>372</v>
      </c>
      <c r="W983" s="4" t="s">
        <v>1626</v>
      </c>
    </row>
    <row r="984" spans="22:23">
      <c r="V984" s="4" t="s">
        <v>372</v>
      </c>
      <c r="W984" s="4" t="s">
        <v>1627</v>
      </c>
    </row>
    <row r="985" spans="22:23">
      <c r="V985" s="4" t="s">
        <v>372</v>
      </c>
      <c r="W985" s="4" t="s">
        <v>1628</v>
      </c>
    </row>
    <row r="986" spans="22:23">
      <c r="V986" s="4" t="s">
        <v>372</v>
      </c>
      <c r="W986" s="4" t="s">
        <v>1126</v>
      </c>
    </row>
    <row r="987" spans="22:23">
      <c r="V987" s="4" t="s">
        <v>372</v>
      </c>
      <c r="W987" s="4" t="s">
        <v>710</v>
      </c>
    </row>
    <row r="988" spans="22:23">
      <c r="V988" s="4" t="s">
        <v>372</v>
      </c>
      <c r="W988" s="4" t="s">
        <v>1129</v>
      </c>
    </row>
    <row r="989" spans="22:23">
      <c r="V989" s="4" t="s">
        <v>372</v>
      </c>
      <c r="W989" s="4" t="s">
        <v>1131</v>
      </c>
    </row>
    <row r="990" spans="22:23">
      <c r="V990" s="4" t="s">
        <v>372</v>
      </c>
      <c r="W990" s="4" t="s">
        <v>1629</v>
      </c>
    </row>
    <row r="991" spans="22:23">
      <c r="V991" s="4" t="s">
        <v>372</v>
      </c>
      <c r="W991" s="4" t="s">
        <v>1133</v>
      </c>
    </row>
    <row r="992" spans="22:23">
      <c r="V992" s="4" t="s">
        <v>372</v>
      </c>
      <c r="W992" s="4" t="s">
        <v>468</v>
      </c>
    </row>
    <row r="993" spans="22:23">
      <c r="V993" s="4" t="s">
        <v>376</v>
      </c>
      <c r="W993" s="4" t="s">
        <v>494</v>
      </c>
    </row>
    <row r="994" spans="22:23">
      <c r="V994" s="4" t="s">
        <v>376</v>
      </c>
      <c r="W994" s="4" t="s">
        <v>1137</v>
      </c>
    </row>
    <row r="995" spans="22:23">
      <c r="V995" s="4" t="s">
        <v>376</v>
      </c>
      <c r="W995" s="4" t="s">
        <v>803</v>
      </c>
    </row>
    <row r="996" spans="22:23">
      <c r="V996" s="4" t="s">
        <v>376</v>
      </c>
      <c r="W996" s="4" t="s">
        <v>805</v>
      </c>
    </row>
    <row r="997" spans="22:23">
      <c r="V997" s="4" t="s">
        <v>376</v>
      </c>
      <c r="W997" s="4" t="s">
        <v>1630</v>
      </c>
    </row>
    <row r="998" spans="22:23">
      <c r="V998" s="4" t="s">
        <v>376</v>
      </c>
      <c r="W998" s="4" t="s">
        <v>1139</v>
      </c>
    </row>
    <row r="999" spans="22:23">
      <c r="V999" s="4" t="s">
        <v>376</v>
      </c>
      <c r="W999" s="4" t="s">
        <v>809</v>
      </c>
    </row>
    <row r="1000" spans="22:23">
      <c r="V1000" s="4" t="s">
        <v>376</v>
      </c>
      <c r="W1000" s="4" t="s">
        <v>1141</v>
      </c>
    </row>
    <row r="1001" spans="22:23">
      <c r="V1001" s="4" t="s">
        <v>376</v>
      </c>
      <c r="W1001" s="4" t="s">
        <v>811</v>
      </c>
    </row>
    <row r="1002" spans="22:23">
      <c r="V1002" s="4" t="s">
        <v>376</v>
      </c>
      <c r="W1002" s="4" t="s">
        <v>813</v>
      </c>
    </row>
    <row r="1003" spans="22:23">
      <c r="V1003" s="4" t="s">
        <v>376</v>
      </c>
      <c r="W1003" s="4" t="s">
        <v>497</v>
      </c>
    </row>
    <row r="1004" spans="22:23">
      <c r="V1004" s="4" t="s">
        <v>376</v>
      </c>
      <c r="W1004" s="4" t="s">
        <v>499</v>
      </c>
    </row>
    <row r="1005" spans="22:23">
      <c r="V1005" s="4" t="s">
        <v>376</v>
      </c>
      <c r="W1005" s="4" t="s">
        <v>815</v>
      </c>
    </row>
    <row r="1006" spans="22:23">
      <c r="V1006" s="4" t="s">
        <v>376</v>
      </c>
      <c r="W1006" s="4" t="s">
        <v>817</v>
      </c>
    </row>
    <row r="1007" spans="22:23">
      <c r="V1007" s="4" t="s">
        <v>376</v>
      </c>
      <c r="W1007" s="4" t="s">
        <v>1143</v>
      </c>
    </row>
    <row r="1008" spans="22:23">
      <c r="V1008" s="4" t="s">
        <v>376</v>
      </c>
      <c r="W1008" s="4" t="s">
        <v>819</v>
      </c>
    </row>
    <row r="1009" spans="22:23">
      <c r="V1009" s="4" t="s">
        <v>376</v>
      </c>
      <c r="W1009" s="4" t="s">
        <v>1145</v>
      </c>
    </row>
    <row r="1010" spans="22:23">
      <c r="V1010" s="4" t="s">
        <v>376</v>
      </c>
      <c r="W1010" s="4" t="s">
        <v>821</v>
      </c>
    </row>
    <row r="1011" spans="22:23">
      <c r="V1011" s="4" t="s">
        <v>376</v>
      </c>
      <c r="W1011" s="4" t="s">
        <v>1147</v>
      </c>
    </row>
    <row r="1012" spans="22:23">
      <c r="V1012" s="4" t="s">
        <v>376</v>
      </c>
      <c r="W1012" s="4" t="s">
        <v>823</v>
      </c>
    </row>
    <row r="1013" spans="22:23">
      <c r="V1013" s="4" t="s">
        <v>376</v>
      </c>
      <c r="W1013" s="4" t="s">
        <v>1149</v>
      </c>
    </row>
    <row r="1014" spans="22:23">
      <c r="V1014" s="4" t="s">
        <v>376</v>
      </c>
      <c r="W1014" s="4" t="s">
        <v>1151</v>
      </c>
    </row>
    <row r="1015" spans="22:23">
      <c r="V1015" s="4" t="s">
        <v>376</v>
      </c>
      <c r="W1015" s="4" t="s">
        <v>1153</v>
      </c>
    </row>
    <row r="1016" spans="22:23">
      <c r="V1016" s="4" t="s">
        <v>376</v>
      </c>
      <c r="W1016" s="4" t="s">
        <v>1155</v>
      </c>
    </row>
    <row r="1017" spans="22:23">
      <c r="V1017" s="4" t="s">
        <v>376</v>
      </c>
      <c r="W1017" s="4" t="s">
        <v>634</v>
      </c>
    </row>
    <row r="1018" spans="22:23">
      <c r="V1018" s="4" t="s">
        <v>376</v>
      </c>
      <c r="W1018" s="4" t="s">
        <v>825</v>
      </c>
    </row>
    <row r="1019" spans="22:23">
      <c r="V1019" s="4" t="s">
        <v>376</v>
      </c>
      <c r="W1019" s="4" t="s">
        <v>1157</v>
      </c>
    </row>
    <row r="1020" spans="22:23">
      <c r="V1020" s="4" t="s">
        <v>376</v>
      </c>
      <c r="W1020" s="4" t="s">
        <v>827</v>
      </c>
    </row>
    <row r="1021" spans="22:23">
      <c r="V1021" s="4" t="s">
        <v>376</v>
      </c>
      <c r="W1021" s="4" t="s">
        <v>636</v>
      </c>
    </row>
    <row r="1022" spans="22:23">
      <c r="V1022" s="4" t="s">
        <v>376</v>
      </c>
      <c r="W1022" s="4" t="s">
        <v>829</v>
      </c>
    </row>
    <row r="1023" spans="22:23">
      <c r="V1023" s="4" t="s">
        <v>376</v>
      </c>
      <c r="W1023" s="4" t="s">
        <v>1159</v>
      </c>
    </row>
    <row r="1024" spans="22:23">
      <c r="V1024" s="4" t="s">
        <v>376</v>
      </c>
      <c r="W1024" s="4" t="s">
        <v>831</v>
      </c>
    </row>
    <row r="1025" spans="22:23">
      <c r="V1025" s="4" t="s">
        <v>376</v>
      </c>
      <c r="W1025" s="4" t="s">
        <v>1631</v>
      </c>
    </row>
    <row r="1026" spans="22:23">
      <c r="V1026" s="4" t="s">
        <v>376</v>
      </c>
      <c r="W1026" s="4" t="s">
        <v>835</v>
      </c>
    </row>
    <row r="1027" spans="22:23">
      <c r="V1027" s="4" t="s">
        <v>376</v>
      </c>
      <c r="W1027" s="4" t="s">
        <v>837</v>
      </c>
    </row>
    <row r="1028" spans="22:23">
      <c r="V1028" s="4" t="s">
        <v>376</v>
      </c>
      <c r="W1028" s="4" t="s">
        <v>1632</v>
      </c>
    </row>
    <row r="1029" spans="22:23">
      <c r="V1029" s="4" t="s">
        <v>376</v>
      </c>
      <c r="W1029" s="4" t="s">
        <v>839</v>
      </c>
    </row>
    <row r="1030" spans="22:23">
      <c r="V1030" s="4" t="s">
        <v>376</v>
      </c>
      <c r="W1030" s="4" t="s">
        <v>841</v>
      </c>
    </row>
    <row r="1031" spans="22:23">
      <c r="V1031" s="4" t="s">
        <v>376</v>
      </c>
      <c r="W1031" s="4" t="s">
        <v>843</v>
      </c>
    </row>
    <row r="1032" spans="22:23">
      <c r="V1032" s="4" t="s">
        <v>376</v>
      </c>
      <c r="W1032" s="4" t="s">
        <v>1633</v>
      </c>
    </row>
    <row r="1033" spans="22:23">
      <c r="V1033" s="4" t="s">
        <v>376</v>
      </c>
      <c r="W1033" s="4" t="s">
        <v>1161</v>
      </c>
    </row>
    <row r="1034" spans="22:23">
      <c r="V1034" s="4" t="s">
        <v>376</v>
      </c>
      <c r="W1034" s="4" t="s">
        <v>1163</v>
      </c>
    </row>
    <row r="1035" spans="22:23">
      <c r="V1035" s="4" t="s">
        <v>376</v>
      </c>
      <c r="W1035" s="4" t="s">
        <v>845</v>
      </c>
    </row>
    <row r="1036" spans="22:23">
      <c r="V1036" s="4" t="s">
        <v>376</v>
      </c>
      <c r="W1036" s="4" t="s">
        <v>847</v>
      </c>
    </row>
    <row r="1037" spans="22:23">
      <c r="V1037" s="4" t="s">
        <v>376</v>
      </c>
      <c r="W1037" s="4" t="s">
        <v>1634</v>
      </c>
    </row>
    <row r="1038" spans="22:23">
      <c r="V1038" s="4" t="s">
        <v>376</v>
      </c>
      <c r="W1038" s="4" t="s">
        <v>1165</v>
      </c>
    </row>
    <row r="1039" spans="22:23">
      <c r="V1039" s="4" t="s">
        <v>376</v>
      </c>
      <c r="W1039" s="4" t="s">
        <v>1166</v>
      </c>
    </row>
    <row r="1040" spans="22:23">
      <c r="V1040" s="4" t="s">
        <v>376</v>
      </c>
      <c r="W1040" s="4" t="s">
        <v>1635</v>
      </c>
    </row>
    <row r="1041" spans="22:23">
      <c r="V1041" s="4" t="s">
        <v>376</v>
      </c>
      <c r="W1041" s="4" t="s">
        <v>1479</v>
      </c>
    </row>
    <row r="1042" spans="22:23">
      <c r="V1042" s="4" t="s">
        <v>376</v>
      </c>
      <c r="W1042" s="4" t="s">
        <v>1636</v>
      </c>
    </row>
    <row r="1043" spans="22:23">
      <c r="V1043" s="4" t="s">
        <v>376</v>
      </c>
      <c r="W1043" s="4" t="s">
        <v>1170</v>
      </c>
    </row>
    <row r="1044" spans="22:23">
      <c r="V1044" s="4" t="s">
        <v>376</v>
      </c>
      <c r="W1044" s="4" t="s">
        <v>1172</v>
      </c>
    </row>
    <row r="1045" spans="22:23">
      <c r="V1045" s="4" t="s">
        <v>376</v>
      </c>
      <c r="W1045" s="4" t="s">
        <v>1174</v>
      </c>
    </row>
    <row r="1046" spans="22:23">
      <c r="V1046" s="4" t="s">
        <v>376</v>
      </c>
      <c r="W1046" s="4" t="s">
        <v>1176</v>
      </c>
    </row>
    <row r="1047" spans="22:23">
      <c r="V1047" s="4" t="s">
        <v>380</v>
      </c>
      <c r="W1047" s="4" t="s">
        <v>853</v>
      </c>
    </row>
    <row r="1048" spans="22:23">
      <c r="V1048" s="4" t="s">
        <v>380</v>
      </c>
      <c r="W1048" s="4" t="s">
        <v>855</v>
      </c>
    </row>
    <row r="1049" spans="22:23">
      <c r="V1049" s="4" t="s">
        <v>380</v>
      </c>
      <c r="W1049" s="4" t="s">
        <v>1637</v>
      </c>
    </row>
    <row r="1050" spans="22:23">
      <c r="V1050" s="4" t="s">
        <v>380</v>
      </c>
      <c r="W1050" s="4" t="s">
        <v>1638</v>
      </c>
    </row>
    <row r="1051" spans="22:23">
      <c r="V1051" s="4" t="s">
        <v>380</v>
      </c>
      <c r="W1051" s="4" t="s">
        <v>857</v>
      </c>
    </row>
    <row r="1052" spans="22:23">
      <c r="V1052" s="4" t="s">
        <v>380</v>
      </c>
      <c r="W1052" s="4" t="s">
        <v>859</v>
      </c>
    </row>
    <row r="1053" spans="22:23">
      <c r="V1053" s="4" t="s">
        <v>380</v>
      </c>
      <c r="W1053" s="4" t="s">
        <v>1178</v>
      </c>
    </row>
    <row r="1054" spans="22:23">
      <c r="V1054" s="4" t="s">
        <v>380</v>
      </c>
      <c r="W1054" s="4" t="s">
        <v>1639</v>
      </c>
    </row>
    <row r="1055" spans="22:23">
      <c r="V1055" s="4" t="s">
        <v>380</v>
      </c>
      <c r="W1055" s="4" t="s">
        <v>861</v>
      </c>
    </row>
    <row r="1056" spans="22:23">
      <c r="V1056" s="4" t="s">
        <v>380</v>
      </c>
      <c r="W1056" s="4" t="s">
        <v>1640</v>
      </c>
    </row>
    <row r="1057" spans="22:23">
      <c r="V1057" s="4" t="s">
        <v>380</v>
      </c>
      <c r="W1057" s="4" t="s">
        <v>1641</v>
      </c>
    </row>
    <row r="1058" spans="22:23">
      <c r="V1058" s="4" t="s">
        <v>380</v>
      </c>
      <c r="W1058" s="4" t="s">
        <v>1180</v>
      </c>
    </row>
    <row r="1059" spans="22:23">
      <c r="V1059" s="4" t="s">
        <v>380</v>
      </c>
      <c r="W1059" s="4" t="s">
        <v>1642</v>
      </c>
    </row>
    <row r="1060" spans="22:23">
      <c r="V1060" s="4" t="s">
        <v>380</v>
      </c>
      <c r="W1060" s="4" t="s">
        <v>1182</v>
      </c>
    </row>
    <row r="1061" spans="22:23">
      <c r="V1061" s="4" t="s">
        <v>380</v>
      </c>
      <c r="W1061" s="4" t="s">
        <v>1184</v>
      </c>
    </row>
    <row r="1062" spans="22:23">
      <c r="V1062" s="4" t="s">
        <v>380</v>
      </c>
      <c r="W1062" s="4" t="s">
        <v>1186</v>
      </c>
    </row>
    <row r="1063" spans="22:23">
      <c r="V1063" s="4" t="s">
        <v>380</v>
      </c>
      <c r="W1063" s="4" t="s">
        <v>1188</v>
      </c>
    </row>
    <row r="1064" spans="22:23">
      <c r="V1064" s="4" t="s">
        <v>380</v>
      </c>
      <c r="W1064" s="4" t="s">
        <v>1069</v>
      </c>
    </row>
    <row r="1065" spans="22:23">
      <c r="V1065" s="4" t="s">
        <v>380</v>
      </c>
      <c r="W1065" s="4" t="s">
        <v>1192</v>
      </c>
    </row>
    <row r="1066" spans="22:23">
      <c r="V1066" s="4" t="s">
        <v>380</v>
      </c>
      <c r="W1066" s="4" t="s">
        <v>1643</v>
      </c>
    </row>
    <row r="1067" spans="22:23">
      <c r="V1067" s="4" t="s">
        <v>380</v>
      </c>
      <c r="W1067" s="4" t="s">
        <v>1315</v>
      </c>
    </row>
    <row r="1068" spans="22:23">
      <c r="V1068" s="4" t="s">
        <v>380</v>
      </c>
      <c r="W1068" s="4" t="s">
        <v>1644</v>
      </c>
    </row>
    <row r="1069" spans="22:23">
      <c r="V1069" s="4" t="s">
        <v>380</v>
      </c>
      <c r="W1069" s="4" t="s">
        <v>1645</v>
      </c>
    </row>
    <row r="1070" spans="22:23">
      <c r="V1070" s="4" t="s">
        <v>380</v>
      </c>
      <c r="W1070" s="4" t="s">
        <v>1646</v>
      </c>
    </row>
    <row r="1071" spans="22:23">
      <c r="V1071" s="4" t="s">
        <v>380</v>
      </c>
      <c r="W1071" s="4" t="s">
        <v>1647</v>
      </c>
    </row>
    <row r="1072" spans="22:23">
      <c r="V1072" s="4" t="s">
        <v>380</v>
      </c>
      <c r="W1072" s="4" t="s">
        <v>1648</v>
      </c>
    </row>
    <row r="1073" spans="22:23">
      <c r="V1073" s="4" t="s">
        <v>380</v>
      </c>
      <c r="W1073" s="4" t="s">
        <v>1649</v>
      </c>
    </row>
    <row r="1074" spans="22:23">
      <c r="V1074" s="4" t="s">
        <v>380</v>
      </c>
      <c r="W1074" s="4" t="s">
        <v>1650</v>
      </c>
    </row>
    <row r="1075" spans="22:23">
      <c r="V1075" s="4" t="s">
        <v>380</v>
      </c>
      <c r="W1075" s="4" t="s">
        <v>1651</v>
      </c>
    </row>
    <row r="1076" spans="22:23">
      <c r="V1076" s="4" t="s">
        <v>385</v>
      </c>
      <c r="W1076" s="4" t="s">
        <v>640</v>
      </c>
    </row>
    <row r="1077" spans="22:23">
      <c r="V1077" s="4" t="s">
        <v>385</v>
      </c>
      <c r="W1077" s="4" t="s">
        <v>863</v>
      </c>
    </row>
    <row r="1078" spans="22:23">
      <c r="V1078" s="4" t="s">
        <v>385</v>
      </c>
      <c r="W1078" s="4" t="s">
        <v>1194</v>
      </c>
    </row>
    <row r="1079" spans="22:23">
      <c r="V1079" s="4" t="s">
        <v>385</v>
      </c>
      <c r="W1079" s="4" t="s">
        <v>1652</v>
      </c>
    </row>
    <row r="1080" spans="22:23">
      <c r="V1080" s="4" t="s">
        <v>385</v>
      </c>
      <c r="W1080" s="4" t="s">
        <v>642</v>
      </c>
    </row>
    <row r="1081" spans="22:23">
      <c r="V1081" s="4" t="s">
        <v>385</v>
      </c>
      <c r="W1081" s="4" t="s">
        <v>865</v>
      </c>
    </row>
    <row r="1082" spans="22:23">
      <c r="V1082" s="4" t="s">
        <v>385</v>
      </c>
      <c r="W1082" s="4" t="s">
        <v>1653</v>
      </c>
    </row>
    <row r="1083" spans="22:23">
      <c r="V1083" s="4" t="s">
        <v>385</v>
      </c>
      <c r="W1083" s="4" t="s">
        <v>867</v>
      </c>
    </row>
    <row r="1084" spans="22:23">
      <c r="V1084" s="4" t="s">
        <v>385</v>
      </c>
      <c r="W1084" s="4" t="s">
        <v>1198</v>
      </c>
    </row>
    <row r="1085" spans="22:23">
      <c r="V1085" s="4" t="s">
        <v>385</v>
      </c>
      <c r="W1085" s="4" t="s">
        <v>1200</v>
      </c>
    </row>
    <row r="1086" spans="22:23">
      <c r="V1086" s="4" t="s">
        <v>385</v>
      </c>
      <c r="W1086" s="4" t="s">
        <v>1654</v>
      </c>
    </row>
    <row r="1087" spans="22:23">
      <c r="V1087" s="4" t="s">
        <v>385</v>
      </c>
      <c r="W1087" s="4" t="s">
        <v>1204</v>
      </c>
    </row>
    <row r="1088" spans="22:23">
      <c r="V1088" s="4" t="s">
        <v>385</v>
      </c>
      <c r="W1088" s="4" t="s">
        <v>1655</v>
      </c>
    </row>
    <row r="1089" spans="22:23">
      <c r="V1089" s="4" t="s">
        <v>385</v>
      </c>
      <c r="W1089" s="4" t="s">
        <v>1656</v>
      </c>
    </row>
    <row r="1090" spans="22:23">
      <c r="V1090" s="4" t="s">
        <v>385</v>
      </c>
      <c r="W1090" s="4" t="s">
        <v>1657</v>
      </c>
    </row>
    <row r="1091" spans="22:23">
      <c r="V1091" s="4" t="s">
        <v>385</v>
      </c>
      <c r="W1091" s="4" t="s">
        <v>1658</v>
      </c>
    </row>
    <row r="1092" spans="22:23">
      <c r="V1092" s="4" t="s">
        <v>385</v>
      </c>
      <c r="W1092" s="4" t="s">
        <v>1659</v>
      </c>
    </row>
    <row r="1093" spans="22:23">
      <c r="V1093" s="4" t="s">
        <v>385</v>
      </c>
      <c r="W1093" s="4" t="s">
        <v>1660</v>
      </c>
    </row>
    <row r="1094" spans="22:23">
      <c r="V1094" s="4" t="s">
        <v>385</v>
      </c>
      <c r="W1094" s="4" t="s">
        <v>1661</v>
      </c>
    </row>
    <row r="1095" spans="22:23">
      <c r="V1095" s="4" t="s">
        <v>389</v>
      </c>
      <c r="W1095" s="4" t="s">
        <v>646</v>
      </c>
    </row>
    <row r="1096" spans="22:23">
      <c r="V1096" s="4" t="s">
        <v>389</v>
      </c>
      <c r="W1096" s="4" t="s">
        <v>1662</v>
      </c>
    </row>
    <row r="1097" spans="22:23">
      <c r="V1097" s="4" t="s">
        <v>389</v>
      </c>
      <c r="W1097" s="4" t="s">
        <v>1663</v>
      </c>
    </row>
    <row r="1098" spans="22:23">
      <c r="V1098" s="4" t="s">
        <v>389</v>
      </c>
      <c r="W1098" s="4" t="s">
        <v>1664</v>
      </c>
    </row>
    <row r="1099" spans="22:23">
      <c r="V1099" s="4" t="s">
        <v>389</v>
      </c>
      <c r="W1099" s="4" t="s">
        <v>869</v>
      </c>
    </row>
    <row r="1100" spans="22:23">
      <c r="V1100" s="4" t="s">
        <v>389</v>
      </c>
      <c r="W1100" s="4" t="s">
        <v>1665</v>
      </c>
    </row>
    <row r="1101" spans="22:23">
      <c r="V1101" s="4" t="s">
        <v>389</v>
      </c>
      <c r="W1101" s="4" t="s">
        <v>871</v>
      </c>
    </row>
    <row r="1102" spans="22:23">
      <c r="V1102" s="4" t="s">
        <v>389</v>
      </c>
      <c r="W1102" s="4" t="s">
        <v>873</v>
      </c>
    </row>
    <row r="1103" spans="22:23">
      <c r="V1103" s="4" t="s">
        <v>389</v>
      </c>
      <c r="W1103" s="4" t="s">
        <v>875</v>
      </c>
    </row>
    <row r="1104" spans="22:23">
      <c r="V1104" s="4" t="s">
        <v>389</v>
      </c>
      <c r="W1104" s="4" t="s">
        <v>648</v>
      </c>
    </row>
    <row r="1105" spans="22:23">
      <c r="V1105" s="4" t="s">
        <v>389</v>
      </c>
      <c r="W1105" s="4" t="s">
        <v>877</v>
      </c>
    </row>
    <row r="1106" spans="22:23">
      <c r="V1106" s="4" t="s">
        <v>389</v>
      </c>
      <c r="W1106" s="4" t="s">
        <v>879</v>
      </c>
    </row>
    <row r="1107" spans="22:23">
      <c r="V1107" s="4" t="s">
        <v>389</v>
      </c>
      <c r="W1107" s="4" t="s">
        <v>1666</v>
      </c>
    </row>
    <row r="1108" spans="22:23">
      <c r="V1108" s="4" t="s">
        <v>389</v>
      </c>
      <c r="W1108" s="4" t="s">
        <v>1667</v>
      </c>
    </row>
    <row r="1109" spans="22:23">
      <c r="V1109" s="4" t="s">
        <v>389</v>
      </c>
      <c r="W1109" s="4" t="s">
        <v>881</v>
      </c>
    </row>
    <row r="1110" spans="22:23">
      <c r="V1110" s="4" t="s">
        <v>389</v>
      </c>
      <c r="W1110" s="4" t="s">
        <v>883</v>
      </c>
    </row>
    <row r="1111" spans="22:23">
      <c r="V1111" s="4" t="s">
        <v>389</v>
      </c>
      <c r="W1111" s="4" t="s">
        <v>1210</v>
      </c>
    </row>
    <row r="1112" spans="22:23">
      <c r="V1112" s="4" t="s">
        <v>389</v>
      </c>
      <c r="W1112" s="4" t="s">
        <v>1668</v>
      </c>
    </row>
    <row r="1113" spans="22:23">
      <c r="V1113" s="4" t="s">
        <v>389</v>
      </c>
      <c r="W1113" s="4" t="s">
        <v>1669</v>
      </c>
    </row>
    <row r="1114" spans="22:23">
      <c r="V1114" s="4" t="s">
        <v>389</v>
      </c>
      <c r="W1114" s="4" t="s">
        <v>1670</v>
      </c>
    </row>
    <row r="1115" spans="22:23">
      <c r="V1115" s="4" t="s">
        <v>389</v>
      </c>
      <c r="W1115" s="4" t="s">
        <v>1671</v>
      </c>
    </row>
    <row r="1116" spans="22:23">
      <c r="V1116" s="4" t="s">
        <v>389</v>
      </c>
      <c r="W1116" s="4" t="s">
        <v>885</v>
      </c>
    </row>
    <row r="1117" spans="22:23">
      <c r="V1117" s="4" t="s">
        <v>389</v>
      </c>
      <c r="W1117" s="4" t="s">
        <v>1672</v>
      </c>
    </row>
    <row r="1118" spans="22:23">
      <c r="V1118" s="4" t="s">
        <v>389</v>
      </c>
      <c r="W1118" s="4" t="s">
        <v>1673</v>
      </c>
    </row>
    <row r="1119" spans="22:23">
      <c r="V1119" s="4" t="s">
        <v>389</v>
      </c>
      <c r="W1119" s="4" t="s">
        <v>1674</v>
      </c>
    </row>
    <row r="1120" spans="22:23">
      <c r="V1120" s="4" t="s">
        <v>389</v>
      </c>
      <c r="W1120" s="4" t="s">
        <v>1675</v>
      </c>
    </row>
    <row r="1121" spans="22:23">
      <c r="V1121" s="4" t="s">
        <v>393</v>
      </c>
      <c r="W1121" s="4" t="s">
        <v>1676</v>
      </c>
    </row>
    <row r="1122" spans="22:23">
      <c r="V1122" s="4" t="s">
        <v>393</v>
      </c>
      <c r="W1122" s="4" t="s">
        <v>650</v>
      </c>
    </row>
    <row r="1123" spans="22:23">
      <c r="V1123" s="4" t="s">
        <v>393</v>
      </c>
      <c r="W1123" s="4" t="s">
        <v>887</v>
      </c>
    </row>
    <row r="1124" spans="22:23">
      <c r="V1124" s="4" t="s">
        <v>393</v>
      </c>
      <c r="W1124" s="4" t="s">
        <v>547</v>
      </c>
    </row>
    <row r="1125" spans="22:23">
      <c r="V1125" s="4" t="s">
        <v>393</v>
      </c>
      <c r="W1125" s="4" t="s">
        <v>549</v>
      </c>
    </row>
    <row r="1126" spans="22:23">
      <c r="V1126" s="4" t="s">
        <v>393</v>
      </c>
      <c r="W1126" s="4" t="s">
        <v>551</v>
      </c>
    </row>
    <row r="1127" spans="22:23">
      <c r="V1127" s="4" t="s">
        <v>393</v>
      </c>
      <c r="W1127" s="4" t="s">
        <v>889</v>
      </c>
    </row>
    <row r="1128" spans="22:23">
      <c r="V1128" s="4" t="s">
        <v>393</v>
      </c>
      <c r="W1128" s="4" t="s">
        <v>553</v>
      </c>
    </row>
    <row r="1129" spans="22:23">
      <c r="V1129" s="4" t="s">
        <v>393</v>
      </c>
      <c r="W1129" s="4" t="s">
        <v>891</v>
      </c>
    </row>
    <row r="1130" spans="22:23">
      <c r="V1130" s="4" t="s">
        <v>393</v>
      </c>
      <c r="W1130" s="4" t="s">
        <v>501</v>
      </c>
    </row>
    <row r="1131" spans="22:23">
      <c r="V1131" s="4" t="s">
        <v>393</v>
      </c>
      <c r="W1131" s="4" t="s">
        <v>652</v>
      </c>
    </row>
    <row r="1132" spans="22:23">
      <c r="V1132" s="4" t="s">
        <v>393</v>
      </c>
      <c r="W1132" s="4" t="s">
        <v>654</v>
      </c>
    </row>
    <row r="1133" spans="22:23">
      <c r="V1133" s="4" t="s">
        <v>393</v>
      </c>
      <c r="W1133" s="4" t="s">
        <v>656</v>
      </c>
    </row>
    <row r="1134" spans="22:23">
      <c r="V1134" s="4" t="s">
        <v>393</v>
      </c>
      <c r="W1134" s="4" t="s">
        <v>893</v>
      </c>
    </row>
    <row r="1135" spans="22:23">
      <c r="V1135" s="4" t="s">
        <v>393</v>
      </c>
      <c r="W1135" s="4" t="s">
        <v>895</v>
      </c>
    </row>
    <row r="1136" spans="22:23">
      <c r="V1136" s="4" t="s">
        <v>393</v>
      </c>
      <c r="W1136" s="4" t="s">
        <v>555</v>
      </c>
    </row>
    <row r="1137" spans="22:23">
      <c r="V1137" s="4" t="s">
        <v>393</v>
      </c>
      <c r="W1137" s="4" t="s">
        <v>897</v>
      </c>
    </row>
    <row r="1138" spans="22:23">
      <c r="V1138" s="4" t="s">
        <v>393</v>
      </c>
      <c r="W1138" s="4" t="s">
        <v>658</v>
      </c>
    </row>
    <row r="1139" spans="22:23">
      <c r="V1139" s="4" t="s">
        <v>393</v>
      </c>
      <c r="W1139" s="4" t="s">
        <v>503</v>
      </c>
    </row>
    <row r="1140" spans="22:23">
      <c r="V1140" s="4" t="s">
        <v>393</v>
      </c>
      <c r="W1140" s="4" t="s">
        <v>899</v>
      </c>
    </row>
    <row r="1141" spans="22:23">
      <c r="V1141" s="4" t="s">
        <v>393</v>
      </c>
      <c r="W1141" s="4" t="s">
        <v>557</v>
      </c>
    </row>
    <row r="1142" spans="22:23">
      <c r="V1142" s="4" t="s">
        <v>393</v>
      </c>
      <c r="W1142" s="4" t="s">
        <v>901</v>
      </c>
    </row>
    <row r="1143" spans="22:23">
      <c r="V1143" s="4" t="s">
        <v>393</v>
      </c>
      <c r="W1143" s="4" t="s">
        <v>903</v>
      </c>
    </row>
    <row r="1144" spans="22:23">
      <c r="V1144" s="4" t="s">
        <v>393</v>
      </c>
      <c r="W1144" s="4" t="s">
        <v>505</v>
      </c>
    </row>
    <row r="1145" spans="22:23">
      <c r="V1145" s="4" t="s">
        <v>393</v>
      </c>
      <c r="W1145" s="4" t="s">
        <v>660</v>
      </c>
    </row>
    <row r="1146" spans="22:23">
      <c r="V1146" s="4" t="s">
        <v>393</v>
      </c>
      <c r="W1146" s="4" t="s">
        <v>662</v>
      </c>
    </row>
    <row r="1147" spans="22:23">
      <c r="V1147" s="4" t="s">
        <v>393</v>
      </c>
      <c r="W1147" s="4" t="s">
        <v>905</v>
      </c>
    </row>
    <row r="1148" spans="22:23">
      <c r="V1148" s="4" t="s">
        <v>393</v>
      </c>
      <c r="W1148" s="4" t="s">
        <v>664</v>
      </c>
    </row>
    <row r="1149" spans="22:23">
      <c r="V1149" s="4" t="s">
        <v>393</v>
      </c>
      <c r="W1149" s="4" t="s">
        <v>907</v>
      </c>
    </row>
    <row r="1150" spans="22:23">
      <c r="V1150" s="4" t="s">
        <v>393</v>
      </c>
      <c r="W1150" s="4" t="s">
        <v>559</v>
      </c>
    </row>
    <row r="1151" spans="22:23">
      <c r="V1151" s="4" t="s">
        <v>393</v>
      </c>
      <c r="W1151" s="4" t="s">
        <v>666</v>
      </c>
    </row>
    <row r="1152" spans="22:23">
      <c r="V1152" s="4" t="s">
        <v>393</v>
      </c>
      <c r="W1152" s="4" t="s">
        <v>909</v>
      </c>
    </row>
    <row r="1153" spans="22:23">
      <c r="V1153" s="4" t="s">
        <v>393</v>
      </c>
      <c r="W1153" s="4" t="s">
        <v>911</v>
      </c>
    </row>
    <row r="1154" spans="22:23">
      <c r="V1154" s="4" t="s">
        <v>393</v>
      </c>
      <c r="W1154" s="4" t="s">
        <v>913</v>
      </c>
    </row>
    <row r="1155" spans="22:23">
      <c r="V1155" s="4" t="s">
        <v>393</v>
      </c>
      <c r="W1155" s="4" t="s">
        <v>915</v>
      </c>
    </row>
    <row r="1156" spans="22:23">
      <c r="V1156" s="4" t="s">
        <v>393</v>
      </c>
      <c r="W1156" s="4" t="s">
        <v>916</v>
      </c>
    </row>
    <row r="1157" spans="22:23">
      <c r="V1157" s="4" t="s">
        <v>393</v>
      </c>
      <c r="W1157" s="4" t="s">
        <v>918</v>
      </c>
    </row>
    <row r="1158" spans="22:23">
      <c r="V1158" s="4" t="s">
        <v>393</v>
      </c>
      <c r="W1158" s="4" t="s">
        <v>920</v>
      </c>
    </row>
    <row r="1159" spans="22:23">
      <c r="V1159" s="4" t="s">
        <v>393</v>
      </c>
      <c r="W1159" s="4" t="s">
        <v>922</v>
      </c>
    </row>
    <row r="1160" spans="22:23">
      <c r="V1160" s="4" t="s">
        <v>393</v>
      </c>
      <c r="W1160" s="4" t="s">
        <v>924</v>
      </c>
    </row>
    <row r="1161" spans="22:23">
      <c r="V1161" s="4" t="s">
        <v>393</v>
      </c>
      <c r="W1161" s="4" t="s">
        <v>1677</v>
      </c>
    </row>
    <row r="1162" spans="22:23">
      <c r="V1162" s="4" t="s">
        <v>393</v>
      </c>
      <c r="W1162" s="4" t="s">
        <v>928</v>
      </c>
    </row>
    <row r="1163" spans="22:23">
      <c r="V1163" s="4" t="s">
        <v>393</v>
      </c>
      <c r="W1163" s="4" t="s">
        <v>930</v>
      </c>
    </row>
    <row r="1164" spans="22:23">
      <c r="V1164" s="4" t="s">
        <v>397</v>
      </c>
      <c r="W1164" s="4" t="s">
        <v>561</v>
      </c>
    </row>
    <row r="1165" spans="22:23">
      <c r="V1165" s="4" t="s">
        <v>397</v>
      </c>
      <c r="W1165" s="4" t="s">
        <v>1212</v>
      </c>
    </row>
    <row r="1166" spans="22:23">
      <c r="V1166" s="4" t="s">
        <v>397</v>
      </c>
      <c r="W1166" s="4" t="s">
        <v>668</v>
      </c>
    </row>
    <row r="1167" spans="22:23">
      <c r="V1167" s="4" t="s">
        <v>397</v>
      </c>
      <c r="W1167" s="4" t="s">
        <v>932</v>
      </c>
    </row>
    <row r="1168" spans="22:23">
      <c r="V1168" s="4" t="s">
        <v>397</v>
      </c>
      <c r="W1168" s="4" t="s">
        <v>508</v>
      </c>
    </row>
    <row r="1169" spans="22:23">
      <c r="V1169" s="4" t="s">
        <v>397</v>
      </c>
      <c r="W1169" s="4" t="s">
        <v>1678</v>
      </c>
    </row>
    <row r="1170" spans="22:23">
      <c r="V1170" s="4" t="s">
        <v>397</v>
      </c>
      <c r="W1170" s="4" t="s">
        <v>510</v>
      </c>
    </row>
    <row r="1171" spans="22:23">
      <c r="V1171" s="4" t="s">
        <v>397</v>
      </c>
      <c r="W1171" s="4" t="s">
        <v>670</v>
      </c>
    </row>
    <row r="1172" spans="22:23">
      <c r="V1172" s="4" t="s">
        <v>397</v>
      </c>
      <c r="W1172" s="4" t="s">
        <v>1679</v>
      </c>
    </row>
    <row r="1173" spans="22:23">
      <c r="V1173" s="4" t="s">
        <v>397</v>
      </c>
      <c r="W1173" s="4" t="s">
        <v>1680</v>
      </c>
    </row>
    <row r="1174" spans="22:23">
      <c r="V1174" s="4" t="s">
        <v>397</v>
      </c>
      <c r="W1174" s="4" t="s">
        <v>1214</v>
      </c>
    </row>
    <row r="1175" spans="22:23">
      <c r="V1175" s="4" t="s">
        <v>397</v>
      </c>
      <c r="W1175" s="4" t="s">
        <v>1681</v>
      </c>
    </row>
    <row r="1176" spans="22:23">
      <c r="V1176" s="4" t="s">
        <v>397</v>
      </c>
      <c r="W1176" s="4" t="s">
        <v>1682</v>
      </c>
    </row>
    <row r="1177" spans="22:23">
      <c r="V1177" s="4" t="s">
        <v>397</v>
      </c>
      <c r="W1177" s="4" t="s">
        <v>512</v>
      </c>
    </row>
    <row r="1178" spans="22:23">
      <c r="V1178" s="4" t="s">
        <v>397</v>
      </c>
      <c r="W1178" s="4" t="s">
        <v>1216</v>
      </c>
    </row>
    <row r="1179" spans="22:23">
      <c r="V1179" s="4" t="s">
        <v>397</v>
      </c>
      <c r="W1179" s="4" t="s">
        <v>1218</v>
      </c>
    </row>
    <row r="1180" spans="22:23">
      <c r="V1180" s="4" t="s">
        <v>397</v>
      </c>
      <c r="W1180" s="4" t="s">
        <v>672</v>
      </c>
    </row>
    <row r="1181" spans="22:23">
      <c r="V1181" s="4" t="s">
        <v>397</v>
      </c>
      <c r="W1181" s="4" t="s">
        <v>1683</v>
      </c>
    </row>
    <row r="1182" spans="22:23">
      <c r="V1182" s="4" t="s">
        <v>397</v>
      </c>
      <c r="W1182" s="4" t="s">
        <v>674</v>
      </c>
    </row>
    <row r="1183" spans="22:23">
      <c r="V1183" s="4" t="s">
        <v>397</v>
      </c>
      <c r="W1183" s="4" t="s">
        <v>1684</v>
      </c>
    </row>
    <row r="1184" spans="22:23">
      <c r="V1184" s="4" t="s">
        <v>397</v>
      </c>
      <c r="W1184" s="4" t="s">
        <v>1685</v>
      </c>
    </row>
    <row r="1185" spans="22:23">
      <c r="V1185" s="4" t="s">
        <v>397</v>
      </c>
      <c r="W1185" s="4" t="s">
        <v>1686</v>
      </c>
    </row>
    <row r="1186" spans="22:23">
      <c r="V1186" s="4" t="s">
        <v>397</v>
      </c>
      <c r="W1186" s="4" t="s">
        <v>1687</v>
      </c>
    </row>
    <row r="1187" spans="22:23">
      <c r="V1187" s="4" t="s">
        <v>397</v>
      </c>
      <c r="W1187" s="4" t="s">
        <v>1688</v>
      </c>
    </row>
    <row r="1188" spans="22:23">
      <c r="V1188" s="4" t="s">
        <v>397</v>
      </c>
      <c r="W1188" s="4" t="s">
        <v>1689</v>
      </c>
    </row>
    <row r="1189" spans="22:23">
      <c r="V1189" s="4" t="s">
        <v>397</v>
      </c>
      <c r="W1189" s="4" t="s">
        <v>1690</v>
      </c>
    </row>
    <row r="1190" spans="22:23">
      <c r="V1190" s="4" t="s">
        <v>397</v>
      </c>
      <c r="W1190" s="4" t="s">
        <v>1691</v>
      </c>
    </row>
    <row r="1191" spans="22:23">
      <c r="V1191" s="4" t="s">
        <v>397</v>
      </c>
      <c r="W1191" s="4" t="s">
        <v>1692</v>
      </c>
    </row>
    <row r="1192" spans="22:23">
      <c r="V1192" s="4" t="s">
        <v>397</v>
      </c>
      <c r="W1192" s="4" t="s">
        <v>1693</v>
      </c>
    </row>
    <row r="1193" spans="22:23">
      <c r="V1193" s="4" t="s">
        <v>397</v>
      </c>
      <c r="W1193" s="4" t="s">
        <v>934</v>
      </c>
    </row>
    <row r="1194" spans="22:23">
      <c r="V1194" s="4" t="s">
        <v>397</v>
      </c>
      <c r="W1194" s="4" t="s">
        <v>1694</v>
      </c>
    </row>
    <row r="1195" spans="22:23">
      <c r="V1195" s="4" t="s">
        <v>397</v>
      </c>
      <c r="W1195" s="4" t="s">
        <v>1220</v>
      </c>
    </row>
    <row r="1196" spans="22:23">
      <c r="V1196" s="4" t="s">
        <v>397</v>
      </c>
      <c r="W1196" s="4" t="s">
        <v>1221</v>
      </c>
    </row>
    <row r="1197" spans="22:23">
      <c r="V1197" s="4" t="s">
        <v>397</v>
      </c>
      <c r="W1197" s="4" t="s">
        <v>1695</v>
      </c>
    </row>
    <row r="1198" spans="22:23">
      <c r="V1198" s="4" t="s">
        <v>397</v>
      </c>
      <c r="W1198" s="4" t="s">
        <v>1696</v>
      </c>
    </row>
    <row r="1199" spans="22:23">
      <c r="V1199" s="4" t="s">
        <v>397</v>
      </c>
      <c r="W1199" s="4" t="s">
        <v>1697</v>
      </c>
    </row>
    <row r="1200" spans="22:23">
      <c r="V1200" s="4" t="s">
        <v>397</v>
      </c>
      <c r="W1200" s="4" t="s">
        <v>1677</v>
      </c>
    </row>
    <row r="1201" spans="22:23">
      <c r="V1201" s="4" t="s">
        <v>397</v>
      </c>
      <c r="W1201" s="4" t="s">
        <v>1698</v>
      </c>
    </row>
    <row r="1202" spans="22:23">
      <c r="V1202" s="4" t="s">
        <v>397</v>
      </c>
      <c r="W1202" s="4" t="s">
        <v>1699</v>
      </c>
    </row>
    <row r="1203" spans="22:23">
      <c r="V1203" s="4" t="s">
        <v>397</v>
      </c>
      <c r="W1203" s="4" t="s">
        <v>1700</v>
      </c>
    </row>
    <row r="1204" spans="22:23">
      <c r="V1204" s="4" t="s">
        <v>397</v>
      </c>
      <c r="W1204" s="4" t="s">
        <v>1701</v>
      </c>
    </row>
    <row r="1205" spans="22:23">
      <c r="V1205" s="4" t="s">
        <v>402</v>
      </c>
      <c r="W1205" s="4" t="s">
        <v>936</v>
      </c>
    </row>
    <row r="1206" spans="22:23">
      <c r="V1206" s="4" t="s">
        <v>402</v>
      </c>
      <c r="W1206" s="4" t="s">
        <v>1222</v>
      </c>
    </row>
    <row r="1207" spans="22:23">
      <c r="V1207" s="4" t="s">
        <v>402</v>
      </c>
      <c r="W1207" s="4" t="s">
        <v>938</v>
      </c>
    </row>
    <row r="1208" spans="22:23">
      <c r="V1208" s="4" t="s">
        <v>402</v>
      </c>
      <c r="W1208" s="4" t="s">
        <v>1223</v>
      </c>
    </row>
    <row r="1209" spans="22:23">
      <c r="V1209" s="4" t="s">
        <v>402</v>
      </c>
      <c r="W1209" s="4" t="s">
        <v>1224</v>
      </c>
    </row>
    <row r="1210" spans="22:23">
      <c r="V1210" s="4" t="s">
        <v>402</v>
      </c>
      <c r="W1210" s="4" t="s">
        <v>1226</v>
      </c>
    </row>
    <row r="1211" spans="22:23">
      <c r="V1211" s="4" t="s">
        <v>402</v>
      </c>
      <c r="W1211" s="4" t="s">
        <v>1702</v>
      </c>
    </row>
    <row r="1212" spans="22:23">
      <c r="V1212" s="4" t="s">
        <v>402</v>
      </c>
      <c r="W1212" s="4" t="s">
        <v>1227</v>
      </c>
    </row>
    <row r="1213" spans="22:23">
      <c r="V1213" s="4" t="s">
        <v>402</v>
      </c>
      <c r="W1213" s="4" t="s">
        <v>940</v>
      </c>
    </row>
    <row r="1214" spans="22:23">
      <c r="V1214" s="4" t="s">
        <v>402</v>
      </c>
      <c r="W1214" s="4" t="s">
        <v>1228</v>
      </c>
    </row>
    <row r="1215" spans="22:23">
      <c r="V1215" s="4" t="s">
        <v>402</v>
      </c>
      <c r="W1215" s="4" t="s">
        <v>1229</v>
      </c>
    </row>
    <row r="1216" spans="22:23">
      <c r="V1216" s="4" t="s">
        <v>402</v>
      </c>
      <c r="W1216" s="4" t="s">
        <v>1230</v>
      </c>
    </row>
    <row r="1217" spans="22:23">
      <c r="V1217" s="4" t="s">
        <v>402</v>
      </c>
      <c r="W1217" s="4" t="s">
        <v>1232</v>
      </c>
    </row>
    <row r="1218" spans="22:23">
      <c r="V1218" s="4" t="s">
        <v>402</v>
      </c>
      <c r="W1218" s="4" t="s">
        <v>1234</v>
      </c>
    </row>
    <row r="1219" spans="22:23">
      <c r="V1219" s="4" t="s">
        <v>402</v>
      </c>
      <c r="W1219" s="4" t="s">
        <v>1236</v>
      </c>
    </row>
    <row r="1220" spans="22:23">
      <c r="V1220" s="4" t="s">
        <v>402</v>
      </c>
      <c r="W1220" s="4" t="s">
        <v>1237</v>
      </c>
    </row>
    <row r="1221" spans="22:23">
      <c r="V1221" s="4" t="s">
        <v>402</v>
      </c>
      <c r="W1221" s="4" t="s">
        <v>1238</v>
      </c>
    </row>
    <row r="1222" spans="22:23">
      <c r="V1222" s="4" t="s">
        <v>402</v>
      </c>
      <c r="W1222" s="4" t="s">
        <v>1091</v>
      </c>
    </row>
    <row r="1223" spans="22:23">
      <c r="V1223" s="4" t="s">
        <v>402</v>
      </c>
      <c r="W1223" s="4" t="s">
        <v>1240</v>
      </c>
    </row>
    <row r="1224" spans="22:23">
      <c r="V1224" s="4" t="s">
        <v>402</v>
      </c>
      <c r="W1224" s="4" t="s">
        <v>1241</v>
      </c>
    </row>
    <row r="1225" spans="22:23">
      <c r="V1225" s="4" t="s">
        <v>402</v>
      </c>
      <c r="W1225" s="4" t="s">
        <v>1243</v>
      </c>
    </row>
    <row r="1226" spans="22:23">
      <c r="V1226" s="4" t="s">
        <v>402</v>
      </c>
      <c r="W1226" s="4" t="s">
        <v>1703</v>
      </c>
    </row>
    <row r="1227" spans="22:23">
      <c r="V1227" s="4" t="s">
        <v>402</v>
      </c>
      <c r="W1227" s="4" t="s">
        <v>1704</v>
      </c>
    </row>
    <row r="1228" spans="22:23">
      <c r="V1228" s="4" t="s">
        <v>402</v>
      </c>
      <c r="W1228" s="4" t="s">
        <v>1245</v>
      </c>
    </row>
    <row r="1229" spans="22:23">
      <c r="V1229" s="4" t="s">
        <v>402</v>
      </c>
      <c r="W1229" s="4" t="s">
        <v>1246</v>
      </c>
    </row>
    <row r="1230" spans="22:23">
      <c r="V1230" s="4" t="s">
        <v>402</v>
      </c>
      <c r="W1230" s="4" t="s">
        <v>1248</v>
      </c>
    </row>
    <row r="1231" spans="22:23">
      <c r="V1231" s="4" t="s">
        <v>402</v>
      </c>
      <c r="W1231" s="4" t="s">
        <v>1249</v>
      </c>
    </row>
    <row r="1232" spans="22:23">
      <c r="V1232" s="4" t="s">
        <v>402</v>
      </c>
      <c r="W1232" s="4" t="s">
        <v>1250</v>
      </c>
    </row>
    <row r="1233" spans="22:23">
      <c r="V1233" s="4" t="s">
        <v>402</v>
      </c>
      <c r="W1233" s="4" t="s">
        <v>1705</v>
      </c>
    </row>
    <row r="1234" spans="22:23">
      <c r="V1234" s="4" t="s">
        <v>402</v>
      </c>
      <c r="W1234" s="4" t="s">
        <v>1706</v>
      </c>
    </row>
    <row r="1235" spans="22:23">
      <c r="V1235" s="4" t="s">
        <v>402</v>
      </c>
      <c r="W1235" s="4" t="s">
        <v>1707</v>
      </c>
    </row>
    <row r="1236" spans="22:23">
      <c r="V1236" s="4" t="s">
        <v>402</v>
      </c>
      <c r="W1236" s="4" t="s">
        <v>1708</v>
      </c>
    </row>
    <row r="1237" spans="22:23">
      <c r="V1237" s="4" t="s">
        <v>402</v>
      </c>
      <c r="W1237" s="4" t="s">
        <v>1709</v>
      </c>
    </row>
    <row r="1238" spans="22:23">
      <c r="V1238" s="4" t="s">
        <v>402</v>
      </c>
      <c r="W1238" s="4" t="s">
        <v>1710</v>
      </c>
    </row>
    <row r="1239" spans="22:23">
      <c r="V1239" s="4" t="s">
        <v>402</v>
      </c>
      <c r="W1239" s="4" t="s">
        <v>1711</v>
      </c>
    </row>
    <row r="1240" spans="22:23">
      <c r="V1240" s="4" t="s">
        <v>402</v>
      </c>
      <c r="W1240" s="4" t="s">
        <v>1712</v>
      </c>
    </row>
    <row r="1241" spans="22:23">
      <c r="V1241" s="4" t="s">
        <v>402</v>
      </c>
      <c r="W1241" s="4" t="s">
        <v>1713</v>
      </c>
    </row>
    <row r="1242" spans="22:23">
      <c r="V1242" s="4" t="s">
        <v>402</v>
      </c>
      <c r="W1242" s="4" t="s">
        <v>1525</v>
      </c>
    </row>
    <row r="1243" spans="22:23">
      <c r="V1243" s="4" t="s">
        <v>402</v>
      </c>
      <c r="W1243" s="4" t="s">
        <v>1714</v>
      </c>
    </row>
    <row r="1244" spans="22:23">
      <c r="V1244" s="4" t="s">
        <v>406</v>
      </c>
      <c r="W1244" s="4" t="s">
        <v>942</v>
      </c>
    </row>
    <row r="1245" spans="22:23">
      <c r="V1245" s="4" t="s">
        <v>406</v>
      </c>
      <c r="W1245" s="4" t="s">
        <v>1715</v>
      </c>
    </row>
    <row r="1246" spans="22:23">
      <c r="V1246" s="4" t="s">
        <v>406</v>
      </c>
      <c r="W1246" s="4" t="s">
        <v>944</v>
      </c>
    </row>
    <row r="1247" spans="22:23">
      <c r="V1247" s="4" t="s">
        <v>406</v>
      </c>
      <c r="W1247" s="4" t="s">
        <v>1716</v>
      </c>
    </row>
    <row r="1248" spans="22:23">
      <c r="V1248" s="4" t="s">
        <v>406</v>
      </c>
      <c r="W1248" s="4" t="s">
        <v>1717</v>
      </c>
    </row>
    <row r="1249" spans="22:23">
      <c r="V1249" s="4" t="s">
        <v>406</v>
      </c>
      <c r="W1249" s="4" t="s">
        <v>1718</v>
      </c>
    </row>
    <row r="1250" spans="22:23">
      <c r="V1250" s="4" t="s">
        <v>406</v>
      </c>
      <c r="W1250" s="4" t="s">
        <v>1719</v>
      </c>
    </row>
    <row r="1251" spans="22:23">
      <c r="V1251" s="4" t="s">
        <v>406</v>
      </c>
      <c r="W1251" s="4" t="s">
        <v>1720</v>
      </c>
    </row>
    <row r="1252" spans="22:23">
      <c r="V1252" s="4" t="s">
        <v>406</v>
      </c>
      <c r="W1252" s="4" t="s">
        <v>1721</v>
      </c>
    </row>
    <row r="1253" spans="22:23">
      <c r="V1253" s="4" t="s">
        <v>406</v>
      </c>
      <c r="W1253" s="4" t="s">
        <v>1722</v>
      </c>
    </row>
    <row r="1254" spans="22:23">
      <c r="V1254" s="4" t="s">
        <v>406</v>
      </c>
      <c r="W1254" s="4" t="s">
        <v>1723</v>
      </c>
    </row>
    <row r="1255" spans="22:23">
      <c r="V1255" s="4" t="s">
        <v>406</v>
      </c>
      <c r="W1255" s="4" t="s">
        <v>1724</v>
      </c>
    </row>
    <row r="1256" spans="22:23">
      <c r="V1256" s="4" t="s">
        <v>406</v>
      </c>
      <c r="W1256" s="4" t="s">
        <v>1725</v>
      </c>
    </row>
    <row r="1257" spans="22:23">
      <c r="V1257" s="4" t="s">
        <v>406</v>
      </c>
      <c r="W1257" s="4" t="s">
        <v>1726</v>
      </c>
    </row>
    <row r="1258" spans="22:23">
      <c r="V1258" s="4" t="s">
        <v>406</v>
      </c>
      <c r="W1258" s="4" t="s">
        <v>1727</v>
      </c>
    </row>
    <row r="1259" spans="22:23">
      <c r="V1259" s="4" t="s">
        <v>406</v>
      </c>
      <c r="W1259" s="4" t="s">
        <v>1728</v>
      </c>
    </row>
    <row r="1260" spans="22:23">
      <c r="V1260" s="4" t="s">
        <v>406</v>
      </c>
      <c r="W1260" s="4" t="s">
        <v>1479</v>
      </c>
    </row>
    <row r="1261" spans="22:23">
      <c r="V1261" s="4" t="s">
        <v>406</v>
      </c>
      <c r="W1261" s="4" t="s">
        <v>686</v>
      </c>
    </row>
    <row r="1262" spans="22:23">
      <c r="V1262" s="4" t="s">
        <v>406</v>
      </c>
      <c r="W1262" s="4" t="s">
        <v>1729</v>
      </c>
    </row>
    <row r="1263" spans="22:23">
      <c r="V1263" s="4" t="s">
        <v>406</v>
      </c>
      <c r="W1263" s="4" t="s">
        <v>1730</v>
      </c>
    </row>
    <row r="1264" spans="22:23">
      <c r="V1264" s="4" t="s">
        <v>406</v>
      </c>
      <c r="W1264" s="4" t="s">
        <v>1731</v>
      </c>
    </row>
    <row r="1265" spans="22:23">
      <c r="V1265" s="4" t="s">
        <v>406</v>
      </c>
      <c r="W1265" s="4" t="s">
        <v>1732</v>
      </c>
    </row>
    <row r="1266" spans="22:23">
      <c r="V1266" s="4" t="s">
        <v>406</v>
      </c>
      <c r="W1266" s="4" t="s">
        <v>1733</v>
      </c>
    </row>
    <row r="1267" spans="22:23">
      <c r="V1267" s="4" t="s">
        <v>406</v>
      </c>
      <c r="W1267" s="4" t="s">
        <v>1734</v>
      </c>
    </row>
    <row r="1268" spans="22:23">
      <c r="V1268" s="4" t="s">
        <v>406</v>
      </c>
      <c r="W1268" s="4" t="s">
        <v>1735</v>
      </c>
    </row>
    <row r="1269" spans="22:23">
      <c r="V1269" s="4" t="s">
        <v>406</v>
      </c>
      <c r="W1269" s="4" t="s">
        <v>1736</v>
      </c>
    </row>
    <row r="1270" spans="22:23">
      <c r="V1270" s="4" t="s">
        <v>406</v>
      </c>
      <c r="W1270" s="4" t="s">
        <v>1737</v>
      </c>
    </row>
    <row r="1271" spans="22:23">
      <c r="V1271" s="4" t="s">
        <v>406</v>
      </c>
      <c r="W1271" s="4" t="s">
        <v>1738</v>
      </c>
    </row>
    <row r="1272" spans="22:23">
      <c r="V1272" s="4" t="s">
        <v>406</v>
      </c>
      <c r="W1272" s="4" t="s">
        <v>1739</v>
      </c>
    </row>
    <row r="1273" spans="22:23">
      <c r="V1273" s="4" t="s">
        <v>406</v>
      </c>
      <c r="W1273" s="4" t="s">
        <v>1740</v>
      </c>
    </row>
    <row r="1274" spans="22:23">
      <c r="V1274" s="4" t="s">
        <v>411</v>
      </c>
      <c r="W1274" s="4" t="s">
        <v>1741</v>
      </c>
    </row>
    <row r="1275" spans="22:23">
      <c r="V1275" s="4" t="s">
        <v>411</v>
      </c>
      <c r="W1275" s="4" t="s">
        <v>1742</v>
      </c>
    </row>
    <row r="1276" spans="22:23">
      <c r="V1276" s="4" t="s">
        <v>411</v>
      </c>
      <c r="W1276" s="4" t="s">
        <v>1743</v>
      </c>
    </row>
    <row r="1277" spans="22:23">
      <c r="V1277" s="4" t="s">
        <v>411</v>
      </c>
      <c r="W1277" s="4" t="s">
        <v>1744</v>
      </c>
    </row>
    <row r="1278" spans="22:23">
      <c r="V1278" s="4" t="s">
        <v>411</v>
      </c>
      <c r="W1278" s="4" t="s">
        <v>1745</v>
      </c>
    </row>
    <row r="1279" spans="22:23">
      <c r="V1279" s="4" t="s">
        <v>411</v>
      </c>
      <c r="W1279" s="4" t="s">
        <v>1746</v>
      </c>
    </row>
    <row r="1280" spans="22:23">
      <c r="V1280" s="4" t="s">
        <v>411</v>
      </c>
      <c r="W1280" s="4" t="s">
        <v>1747</v>
      </c>
    </row>
    <row r="1281" spans="22:23">
      <c r="V1281" s="4" t="s">
        <v>411</v>
      </c>
      <c r="W1281" s="4" t="s">
        <v>1748</v>
      </c>
    </row>
    <row r="1282" spans="22:23">
      <c r="V1282" s="4" t="s">
        <v>411</v>
      </c>
      <c r="W1282" s="4" t="s">
        <v>1749</v>
      </c>
    </row>
    <row r="1283" spans="22:23">
      <c r="V1283" s="4" t="s">
        <v>411</v>
      </c>
      <c r="W1283" s="4" t="s">
        <v>1750</v>
      </c>
    </row>
    <row r="1284" spans="22:23">
      <c r="V1284" s="4" t="s">
        <v>411</v>
      </c>
      <c r="W1284" s="4" t="s">
        <v>1751</v>
      </c>
    </row>
    <row r="1285" spans="22:23">
      <c r="V1285" s="4" t="s">
        <v>411</v>
      </c>
      <c r="W1285" s="4" t="s">
        <v>1752</v>
      </c>
    </row>
    <row r="1286" spans="22:23">
      <c r="V1286" s="4" t="s">
        <v>411</v>
      </c>
      <c r="W1286" s="4" t="s">
        <v>1753</v>
      </c>
    </row>
    <row r="1287" spans="22:23">
      <c r="V1287" s="4" t="s">
        <v>411</v>
      </c>
      <c r="W1287" s="4" t="s">
        <v>1754</v>
      </c>
    </row>
    <row r="1288" spans="22:23">
      <c r="V1288" s="4" t="s">
        <v>411</v>
      </c>
      <c r="W1288" s="4" t="s">
        <v>844</v>
      </c>
    </row>
    <row r="1289" spans="22:23">
      <c r="V1289" s="4" t="s">
        <v>411</v>
      </c>
      <c r="W1289" s="4" t="s">
        <v>1755</v>
      </c>
    </row>
    <row r="1290" spans="22:23">
      <c r="V1290" s="4" t="s">
        <v>411</v>
      </c>
      <c r="W1290" s="4" t="s">
        <v>1756</v>
      </c>
    </row>
    <row r="1291" spans="22:23">
      <c r="V1291" s="4" t="s">
        <v>411</v>
      </c>
      <c r="W1291" s="4" t="s">
        <v>1656</v>
      </c>
    </row>
    <row r="1292" spans="22:23">
      <c r="V1292" s="4" t="s">
        <v>411</v>
      </c>
      <c r="W1292" s="4" t="s">
        <v>1757</v>
      </c>
    </row>
    <row r="1293" spans="22:23">
      <c r="V1293" s="4" t="s">
        <v>417</v>
      </c>
      <c r="W1293" s="4" t="s">
        <v>1758</v>
      </c>
    </row>
    <row r="1294" spans="22:23">
      <c r="V1294" s="4" t="s">
        <v>417</v>
      </c>
      <c r="W1294" s="4" t="s">
        <v>1759</v>
      </c>
    </row>
    <row r="1295" spans="22:23">
      <c r="V1295" s="4" t="s">
        <v>417</v>
      </c>
      <c r="W1295" s="4" t="s">
        <v>1760</v>
      </c>
    </row>
    <row r="1296" spans="22:23">
      <c r="V1296" s="4" t="s">
        <v>417</v>
      </c>
      <c r="W1296" s="4" t="s">
        <v>1761</v>
      </c>
    </row>
    <row r="1297" spans="22:23">
      <c r="V1297" s="4" t="s">
        <v>417</v>
      </c>
      <c r="W1297" s="4" t="s">
        <v>1762</v>
      </c>
    </row>
    <row r="1298" spans="22:23">
      <c r="V1298" s="4" t="s">
        <v>417</v>
      </c>
      <c r="W1298" s="4" t="s">
        <v>1763</v>
      </c>
    </row>
    <row r="1299" spans="22:23">
      <c r="V1299" s="4" t="s">
        <v>417</v>
      </c>
      <c r="W1299" s="4" t="s">
        <v>1764</v>
      </c>
    </row>
    <row r="1300" spans="22:23">
      <c r="V1300" s="4" t="s">
        <v>417</v>
      </c>
      <c r="W1300" s="4" t="s">
        <v>1765</v>
      </c>
    </row>
    <row r="1301" spans="22:23">
      <c r="V1301" s="4" t="s">
        <v>417</v>
      </c>
      <c r="W1301" s="4" t="s">
        <v>1766</v>
      </c>
    </row>
    <row r="1302" spans="22:23">
      <c r="V1302" s="4" t="s">
        <v>417</v>
      </c>
      <c r="W1302" s="4" t="s">
        <v>1767</v>
      </c>
    </row>
    <row r="1303" spans="22:23">
      <c r="V1303" s="4" t="s">
        <v>417</v>
      </c>
      <c r="W1303" s="4" t="s">
        <v>1768</v>
      </c>
    </row>
    <row r="1304" spans="22:23">
      <c r="V1304" s="4" t="s">
        <v>417</v>
      </c>
      <c r="W1304" s="4" t="s">
        <v>1029</v>
      </c>
    </row>
    <row r="1305" spans="22:23">
      <c r="V1305" s="4" t="s">
        <v>417</v>
      </c>
      <c r="W1305" s="4" t="s">
        <v>1769</v>
      </c>
    </row>
    <row r="1306" spans="22:23">
      <c r="V1306" s="4" t="s">
        <v>417</v>
      </c>
      <c r="W1306" s="4" t="s">
        <v>1770</v>
      </c>
    </row>
    <row r="1307" spans="22:23">
      <c r="V1307" s="4" t="s">
        <v>417</v>
      </c>
      <c r="W1307" s="4" t="s">
        <v>1771</v>
      </c>
    </row>
    <row r="1308" spans="22:23">
      <c r="V1308" s="4" t="s">
        <v>417</v>
      </c>
      <c r="W1308" s="4" t="s">
        <v>1772</v>
      </c>
    </row>
    <row r="1309" spans="22:23">
      <c r="V1309" s="4" t="s">
        <v>417</v>
      </c>
      <c r="W1309" s="4" t="s">
        <v>1773</v>
      </c>
    </row>
    <row r="1310" spans="22:23">
      <c r="V1310" s="4" t="s">
        <v>417</v>
      </c>
      <c r="W1310" s="4" t="s">
        <v>1774</v>
      </c>
    </row>
    <row r="1311" spans="22:23">
      <c r="V1311" s="4" t="s">
        <v>417</v>
      </c>
      <c r="W1311" s="4" t="s">
        <v>1775</v>
      </c>
    </row>
    <row r="1312" spans="22:23">
      <c r="V1312" s="4" t="s">
        <v>422</v>
      </c>
      <c r="W1312" s="4" t="s">
        <v>1251</v>
      </c>
    </row>
    <row r="1313" spans="22:23">
      <c r="V1313" s="4" t="s">
        <v>422</v>
      </c>
      <c r="W1313" s="4" t="s">
        <v>1776</v>
      </c>
    </row>
    <row r="1314" spans="22:23">
      <c r="V1314" s="4" t="s">
        <v>422</v>
      </c>
      <c r="W1314" s="4" t="s">
        <v>1777</v>
      </c>
    </row>
    <row r="1315" spans="22:23">
      <c r="V1315" s="4" t="s">
        <v>422</v>
      </c>
      <c r="W1315" s="4" t="s">
        <v>1778</v>
      </c>
    </row>
    <row r="1316" spans="22:23">
      <c r="V1316" s="4" t="s">
        <v>422</v>
      </c>
      <c r="W1316" s="4" t="s">
        <v>1779</v>
      </c>
    </row>
    <row r="1317" spans="22:23">
      <c r="V1317" s="4" t="s">
        <v>422</v>
      </c>
      <c r="W1317" s="4" t="s">
        <v>1780</v>
      </c>
    </row>
    <row r="1318" spans="22:23">
      <c r="V1318" s="4" t="s">
        <v>422</v>
      </c>
      <c r="W1318" s="4" t="s">
        <v>1781</v>
      </c>
    </row>
    <row r="1319" spans="22:23">
      <c r="V1319" s="4" t="s">
        <v>422</v>
      </c>
      <c r="W1319" s="4" t="s">
        <v>1782</v>
      </c>
    </row>
    <row r="1320" spans="22:23">
      <c r="V1320" s="4" t="s">
        <v>422</v>
      </c>
      <c r="W1320" s="4" t="s">
        <v>1783</v>
      </c>
    </row>
    <row r="1321" spans="22:23">
      <c r="V1321" s="4" t="s">
        <v>422</v>
      </c>
      <c r="W1321" s="4" t="s">
        <v>1784</v>
      </c>
    </row>
    <row r="1322" spans="22:23">
      <c r="V1322" s="4" t="s">
        <v>422</v>
      </c>
      <c r="W1322" s="4" t="s">
        <v>1785</v>
      </c>
    </row>
    <row r="1323" spans="22:23">
      <c r="V1323" s="4" t="s">
        <v>422</v>
      </c>
      <c r="W1323" s="4" t="s">
        <v>1786</v>
      </c>
    </row>
    <row r="1324" spans="22:23">
      <c r="V1324" s="4" t="s">
        <v>422</v>
      </c>
      <c r="W1324" s="4" t="s">
        <v>1787</v>
      </c>
    </row>
    <row r="1325" spans="22:23">
      <c r="V1325" s="4" t="s">
        <v>422</v>
      </c>
      <c r="W1325" s="4" t="s">
        <v>1788</v>
      </c>
    </row>
    <row r="1326" spans="22:23">
      <c r="V1326" s="4" t="s">
        <v>422</v>
      </c>
      <c r="W1326" s="4" t="s">
        <v>1789</v>
      </c>
    </row>
    <row r="1327" spans="22:23">
      <c r="V1327" s="4" t="s">
        <v>422</v>
      </c>
      <c r="W1327" s="4" t="s">
        <v>1790</v>
      </c>
    </row>
    <row r="1328" spans="22:23">
      <c r="V1328" s="4" t="s">
        <v>422</v>
      </c>
      <c r="W1328" s="4" t="s">
        <v>1791</v>
      </c>
    </row>
    <row r="1329" spans="22:23">
      <c r="V1329" s="4" t="s">
        <v>422</v>
      </c>
      <c r="W1329" s="4" t="s">
        <v>1792</v>
      </c>
    </row>
    <row r="1330" spans="22:23">
      <c r="V1330" s="4" t="s">
        <v>422</v>
      </c>
      <c r="W1330" s="4" t="s">
        <v>1793</v>
      </c>
    </row>
    <row r="1331" spans="22:23">
      <c r="V1331" s="4" t="s">
        <v>422</v>
      </c>
      <c r="W1331" s="4" t="s">
        <v>1794</v>
      </c>
    </row>
    <row r="1332" spans="22:23">
      <c r="V1332" s="4" t="s">
        <v>422</v>
      </c>
      <c r="W1332" s="4" t="s">
        <v>1795</v>
      </c>
    </row>
    <row r="1333" spans="22:23">
      <c r="V1333" s="4" t="s">
        <v>422</v>
      </c>
      <c r="W1333" s="4" t="s">
        <v>1796</v>
      </c>
    </row>
    <row r="1334" spans="22:23">
      <c r="V1334" s="4" t="s">
        <v>422</v>
      </c>
      <c r="W1334" s="4" t="s">
        <v>1797</v>
      </c>
    </row>
    <row r="1335" spans="22:23">
      <c r="V1335" s="4" t="s">
        <v>422</v>
      </c>
      <c r="W1335" s="4" t="s">
        <v>1798</v>
      </c>
    </row>
    <row r="1336" spans="22:23">
      <c r="V1336" s="4" t="s">
        <v>422</v>
      </c>
      <c r="W1336" s="4" t="s">
        <v>1799</v>
      </c>
    </row>
    <row r="1337" spans="22:23">
      <c r="V1337" s="4" t="s">
        <v>422</v>
      </c>
      <c r="W1337" s="4" t="s">
        <v>1800</v>
      </c>
    </row>
    <row r="1338" spans="22:23">
      <c r="V1338" s="4" t="s">
        <v>422</v>
      </c>
      <c r="W1338" s="4" t="s">
        <v>1801</v>
      </c>
    </row>
    <row r="1339" spans="22:23">
      <c r="V1339" s="4" t="s">
        <v>426</v>
      </c>
      <c r="W1339" s="4" t="s">
        <v>676</v>
      </c>
    </row>
    <row r="1340" spans="22:23">
      <c r="V1340" s="4" t="s">
        <v>426</v>
      </c>
      <c r="W1340" s="4" t="s">
        <v>1802</v>
      </c>
    </row>
    <row r="1341" spans="22:23">
      <c r="V1341" s="4" t="s">
        <v>426</v>
      </c>
      <c r="W1341" s="4" t="s">
        <v>1803</v>
      </c>
    </row>
    <row r="1342" spans="22:23">
      <c r="V1342" s="4" t="s">
        <v>426</v>
      </c>
      <c r="W1342" s="4" t="s">
        <v>1804</v>
      </c>
    </row>
    <row r="1343" spans="22:23">
      <c r="V1343" s="4" t="s">
        <v>426</v>
      </c>
      <c r="W1343" s="4" t="s">
        <v>1805</v>
      </c>
    </row>
    <row r="1344" spans="22:23">
      <c r="V1344" s="4" t="s">
        <v>426</v>
      </c>
      <c r="W1344" s="4" t="s">
        <v>1806</v>
      </c>
    </row>
    <row r="1345" spans="22:23">
      <c r="V1345" s="4" t="s">
        <v>426</v>
      </c>
      <c r="W1345" s="4" t="s">
        <v>1381</v>
      </c>
    </row>
    <row r="1346" spans="22:23">
      <c r="V1346" s="4" t="s">
        <v>426</v>
      </c>
      <c r="W1346" s="4" t="s">
        <v>1807</v>
      </c>
    </row>
    <row r="1347" spans="22:23">
      <c r="V1347" s="4" t="s">
        <v>426</v>
      </c>
      <c r="W1347" s="4" t="s">
        <v>1808</v>
      </c>
    </row>
    <row r="1348" spans="22:23">
      <c r="V1348" s="4" t="s">
        <v>426</v>
      </c>
      <c r="W1348" s="4" t="s">
        <v>1809</v>
      </c>
    </row>
    <row r="1349" spans="22:23">
      <c r="V1349" s="4" t="s">
        <v>426</v>
      </c>
      <c r="W1349" s="4" t="s">
        <v>1252</v>
      </c>
    </row>
    <row r="1350" spans="22:23">
      <c r="V1350" s="4" t="s">
        <v>426</v>
      </c>
      <c r="W1350" s="4" t="s">
        <v>1254</v>
      </c>
    </row>
    <row r="1351" spans="22:23">
      <c r="V1351" s="4" t="s">
        <v>426</v>
      </c>
      <c r="W1351" s="4" t="s">
        <v>1810</v>
      </c>
    </row>
    <row r="1352" spans="22:23">
      <c r="V1352" s="4" t="s">
        <v>426</v>
      </c>
      <c r="W1352" s="4" t="s">
        <v>1811</v>
      </c>
    </row>
    <row r="1353" spans="22:23">
      <c r="V1353" s="4" t="s">
        <v>426</v>
      </c>
      <c r="W1353" s="4" t="s">
        <v>678</v>
      </c>
    </row>
    <row r="1354" spans="22:23">
      <c r="V1354" s="4" t="s">
        <v>426</v>
      </c>
      <c r="W1354" s="4" t="s">
        <v>1256</v>
      </c>
    </row>
    <row r="1355" spans="22:23">
      <c r="V1355" s="4" t="s">
        <v>426</v>
      </c>
      <c r="W1355" s="4" t="s">
        <v>1812</v>
      </c>
    </row>
    <row r="1356" spans="22:23">
      <c r="V1356" s="4" t="s">
        <v>426</v>
      </c>
      <c r="W1356" s="4" t="s">
        <v>1260</v>
      </c>
    </row>
    <row r="1357" spans="22:23">
      <c r="V1357" s="4" t="s">
        <v>426</v>
      </c>
      <c r="W1357" s="4" t="s">
        <v>1813</v>
      </c>
    </row>
    <row r="1358" spans="22:23">
      <c r="V1358" s="4" t="s">
        <v>426</v>
      </c>
      <c r="W1358" s="4" t="s">
        <v>1814</v>
      </c>
    </row>
    <row r="1359" spans="22:23">
      <c r="V1359" s="4" t="s">
        <v>426</v>
      </c>
      <c r="W1359" s="4" t="s">
        <v>1815</v>
      </c>
    </row>
    <row r="1360" spans="22:23">
      <c r="V1360" s="4" t="s">
        <v>426</v>
      </c>
      <c r="W1360" s="4" t="s">
        <v>1816</v>
      </c>
    </row>
    <row r="1361" spans="22:23">
      <c r="V1361" s="4" t="s">
        <v>426</v>
      </c>
      <c r="W1361" s="4" t="s">
        <v>1817</v>
      </c>
    </row>
    <row r="1362" spans="22:23">
      <c r="V1362" s="4" t="s">
        <v>430</v>
      </c>
      <c r="W1362" s="4" t="s">
        <v>1818</v>
      </c>
    </row>
    <row r="1363" spans="22:23">
      <c r="V1363" s="4" t="s">
        <v>430</v>
      </c>
      <c r="W1363" s="4" t="s">
        <v>1819</v>
      </c>
    </row>
    <row r="1364" spans="22:23">
      <c r="V1364" s="4" t="s">
        <v>430</v>
      </c>
      <c r="W1364" s="4" t="s">
        <v>1820</v>
      </c>
    </row>
    <row r="1365" spans="22:23">
      <c r="V1365" s="4" t="s">
        <v>430</v>
      </c>
      <c r="W1365" s="4" t="s">
        <v>1821</v>
      </c>
    </row>
    <row r="1366" spans="22:23">
      <c r="V1366" s="4" t="s">
        <v>430</v>
      </c>
      <c r="W1366" s="4" t="s">
        <v>1822</v>
      </c>
    </row>
    <row r="1367" spans="22:23">
      <c r="V1367" s="4" t="s">
        <v>430</v>
      </c>
      <c r="W1367" s="4" t="s">
        <v>1823</v>
      </c>
    </row>
    <row r="1368" spans="22:23">
      <c r="V1368" s="4" t="s">
        <v>430</v>
      </c>
      <c r="W1368" s="4" t="s">
        <v>1824</v>
      </c>
    </row>
    <row r="1369" spans="22:23">
      <c r="V1369" s="4" t="s">
        <v>430</v>
      </c>
      <c r="W1369" s="4" t="s">
        <v>1825</v>
      </c>
    </row>
    <row r="1370" spans="22:23">
      <c r="V1370" s="4" t="s">
        <v>430</v>
      </c>
      <c r="W1370" s="4" t="s">
        <v>1826</v>
      </c>
    </row>
    <row r="1371" spans="22:23">
      <c r="V1371" s="4" t="s">
        <v>430</v>
      </c>
      <c r="W1371" s="4" t="s">
        <v>1827</v>
      </c>
    </row>
    <row r="1372" spans="22:23">
      <c r="V1372" s="4" t="s">
        <v>430</v>
      </c>
      <c r="W1372" s="4" t="s">
        <v>1828</v>
      </c>
    </row>
    <row r="1373" spans="22:23">
      <c r="V1373" s="4" t="s">
        <v>430</v>
      </c>
      <c r="W1373" s="4" t="s">
        <v>1262</v>
      </c>
    </row>
    <row r="1374" spans="22:23">
      <c r="V1374" s="4" t="s">
        <v>430</v>
      </c>
      <c r="W1374" s="4" t="s">
        <v>1829</v>
      </c>
    </row>
    <row r="1375" spans="22:23">
      <c r="V1375" s="4" t="s">
        <v>430</v>
      </c>
      <c r="W1375" s="4" t="s">
        <v>1830</v>
      </c>
    </row>
    <row r="1376" spans="22:23">
      <c r="V1376" s="4" t="s">
        <v>430</v>
      </c>
      <c r="W1376" s="4" t="s">
        <v>1831</v>
      </c>
    </row>
    <row r="1377" spans="22:23">
      <c r="V1377" s="4" t="s">
        <v>430</v>
      </c>
      <c r="W1377" s="4" t="s">
        <v>1832</v>
      </c>
    </row>
    <row r="1378" spans="22:23">
      <c r="V1378" s="4" t="s">
        <v>430</v>
      </c>
      <c r="W1378" s="4" t="s">
        <v>1833</v>
      </c>
    </row>
    <row r="1379" spans="22:23">
      <c r="V1379" s="4" t="s">
        <v>430</v>
      </c>
      <c r="W1379" s="4" t="s">
        <v>1834</v>
      </c>
    </row>
    <row r="1380" spans="22:23">
      <c r="V1380" s="4" t="s">
        <v>430</v>
      </c>
      <c r="W1380" s="4" t="s">
        <v>1835</v>
      </c>
    </row>
    <row r="1381" spans="22:23">
      <c r="V1381" s="4" t="s">
        <v>434</v>
      </c>
      <c r="W1381" s="4" t="s">
        <v>1263</v>
      </c>
    </row>
    <row r="1382" spans="22:23">
      <c r="V1382" s="4" t="s">
        <v>434</v>
      </c>
      <c r="W1382" s="4" t="s">
        <v>1836</v>
      </c>
    </row>
    <row r="1383" spans="22:23">
      <c r="V1383" s="4" t="s">
        <v>434</v>
      </c>
      <c r="W1383" s="4" t="s">
        <v>1837</v>
      </c>
    </row>
    <row r="1384" spans="22:23">
      <c r="V1384" s="4" t="s">
        <v>434</v>
      </c>
      <c r="W1384" s="4" t="s">
        <v>1838</v>
      </c>
    </row>
    <row r="1385" spans="22:23">
      <c r="V1385" s="4" t="s">
        <v>434</v>
      </c>
      <c r="W1385" s="4" t="s">
        <v>1839</v>
      </c>
    </row>
    <row r="1386" spans="22:23">
      <c r="V1386" s="4" t="s">
        <v>434</v>
      </c>
      <c r="W1386" s="4" t="s">
        <v>1840</v>
      </c>
    </row>
    <row r="1387" spans="22:23">
      <c r="V1387" s="4" t="s">
        <v>434</v>
      </c>
      <c r="W1387" s="4" t="s">
        <v>1841</v>
      </c>
    </row>
    <row r="1388" spans="22:23">
      <c r="V1388" s="4" t="s">
        <v>434</v>
      </c>
      <c r="W1388" s="4" t="s">
        <v>1842</v>
      </c>
    </row>
    <row r="1389" spans="22:23">
      <c r="V1389" s="4" t="s">
        <v>434</v>
      </c>
      <c r="W1389" s="4" t="s">
        <v>1843</v>
      </c>
    </row>
    <row r="1390" spans="22:23">
      <c r="V1390" s="4" t="s">
        <v>434</v>
      </c>
      <c r="W1390" s="4" t="s">
        <v>1844</v>
      </c>
    </row>
    <row r="1391" spans="22:23">
      <c r="V1391" s="4" t="s">
        <v>434</v>
      </c>
      <c r="W1391" s="4" t="s">
        <v>1845</v>
      </c>
    </row>
    <row r="1392" spans="22:23">
      <c r="V1392" s="4" t="s">
        <v>434</v>
      </c>
      <c r="W1392" s="4" t="s">
        <v>1846</v>
      </c>
    </row>
    <row r="1393" spans="22:23">
      <c r="V1393" s="4" t="s">
        <v>434</v>
      </c>
      <c r="W1393" s="4" t="s">
        <v>1847</v>
      </c>
    </row>
    <row r="1394" spans="22:23">
      <c r="V1394" s="4" t="s">
        <v>434</v>
      </c>
      <c r="W1394" s="4" t="s">
        <v>1848</v>
      </c>
    </row>
    <row r="1395" spans="22:23">
      <c r="V1395" s="4" t="s">
        <v>434</v>
      </c>
      <c r="W1395" s="4" t="s">
        <v>1849</v>
      </c>
    </row>
    <row r="1396" spans="22:23">
      <c r="V1396" s="4" t="s">
        <v>434</v>
      </c>
      <c r="W1396" s="4" t="s">
        <v>1850</v>
      </c>
    </row>
    <row r="1397" spans="22:23">
      <c r="V1397" s="4" t="s">
        <v>434</v>
      </c>
      <c r="W1397" s="4" t="s">
        <v>1851</v>
      </c>
    </row>
    <row r="1398" spans="22:23">
      <c r="V1398" s="4" t="s">
        <v>434</v>
      </c>
      <c r="W1398" s="4" t="s">
        <v>1852</v>
      </c>
    </row>
    <row r="1399" spans="22:23">
      <c r="V1399" s="4" t="s">
        <v>434</v>
      </c>
      <c r="W1399" s="4" t="s">
        <v>1853</v>
      </c>
    </row>
    <row r="1400" spans="22:23">
      <c r="V1400" s="4" t="s">
        <v>434</v>
      </c>
      <c r="W1400" s="4" t="s">
        <v>1854</v>
      </c>
    </row>
    <row r="1401" spans="22:23">
      <c r="V1401" s="4" t="s">
        <v>434</v>
      </c>
      <c r="W1401" s="4" t="s">
        <v>1855</v>
      </c>
    </row>
    <row r="1402" spans="22:23">
      <c r="V1402" s="4" t="s">
        <v>434</v>
      </c>
      <c r="W1402" s="4" t="s">
        <v>1856</v>
      </c>
    </row>
    <row r="1403" spans="22:23">
      <c r="V1403" s="4" t="s">
        <v>434</v>
      </c>
      <c r="W1403" s="4" t="s">
        <v>1857</v>
      </c>
    </row>
    <row r="1404" spans="22:23">
      <c r="V1404" s="4" t="s">
        <v>434</v>
      </c>
      <c r="W1404" s="4" t="s">
        <v>1858</v>
      </c>
    </row>
    <row r="1405" spans="22:23">
      <c r="V1405" s="4" t="s">
        <v>438</v>
      </c>
      <c r="W1405" s="4" t="s">
        <v>1265</v>
      </c>
    </row>
    <row r="1406" spans="22:23">
      <c r="V1406" s="4" t="s">
        <v>438</v>
      </c>
      <c r="W1406" s="4" t="s">
        <v>1859</v>
      </c>
    </row>
    <row r="1407" spans="22:23">
      <c r="V1407" s="4" t="s">
        <v>438</v>
      </c>
      <c r="W1407" s="4" t="s">
        <v>1860</v>
      </c>
    </row>
    <row r="1408" spans="22:23">
      <c r="V1408" s="4" t="s">
        <v>438</v>
      </c>
      <c r="W1408" s="4" t="s">
        <v>1861</v>
      </c>
    </row>
    <row r="1409" spans="22:23">
      <c r="V1409" s="4" t="s">
        <v>438</v>
      </c>
      <c r="W1409" s="4" t="s">
        <v>1862</v>
      </c>
    </row>
    <row r="1410" spans="22:23">
      <c r="V1410" s="4" t="s">
        <v>438</v>
      </c>
      <c r="W1410" s="4" t="s">
        <v>1863</v>
      </c>
    </row>
    <row r="1411" spans="22:23">
      <c r="V1411" s="4" t="s">
        <v>438</v>
      </c>
      <c r="W1411" s="4" t="s">
        <v>1864</v>
      </c>
    </row>
    <row r="1412" spans="22:23">
      <c r="V1412" s="4" t="s">
        <v>438</v>
      </c>
      <c r="W1412" s="4" t="s">
        <v>1865</v>
      </c>
    </row>
    <row r="1413" spans="22:23">
      <c r="V1413" s="4" t="s">
        <v>438</v>
      </c>
      <c r="W1413" s="4" t="s">
        <v>1866</v>
      </c>
    </row>
    <row r="1414" spans="22:23">
      <c r="V1414" s="4" t="s">
        <v>438</v>
      </c>
      <c r="W1414" s="4" t="s">
        <v>1867</v>
      </c>
    </row>
    <row r="1415" spans="22:23">
      <c r="V1415" s="4" t="s">
        <v>438</v>
      </c>
      <c r="W1415" s="4" t="s">
        <v>1868</v>
      </c>
    </row>
    <row r="1416" spans="22:23">
      <c r="V1416" s="4" t="s">
        <v>438</v>
      </c>
      <c r="W1416" s="4" t="s">
        <v>1869</v>
      </c>
    </row>
    <row r="1417" spans="22:23">
      <c r="V1417" s="4" t="s">
        <v>438</v>
      </c>
      <c r="W1417" s="4" t="s">
        <v>1870</v>
      </c>
    </row>
    <row r="1418" spans="22:23">
      <c r="V1418" s="4" t="s">
        <v>438</v>
      </c>
      <c r="W1418" s="4" t="s">
        <v>1871</v>
      </c>
    </row>
    <row r="1419" spans="22:23">
      <c r="V1419" s="4" t="s">
        <v>438</v>
      </c>
      <c r="W1419" s="4" t="s">
        <v>1872</v>
      </c>
    </row>
    <row r="1420" spans="22:23">
      <c r="V1420" s="4" t="s">
        <v>438</v>
      </c>
      <c r="W1420" s="4" t="s">
        <v>1873</v>
      </c>
    </row>
    <row r="1421" spans="22:23">
      <c r="V1421" s="4" t="s">
        <v>438</v>
      </c>
      <c r="W1421" s="4" t="s">
        <v>1874</v>
      </c>
    </row>
    <row r="1422" spans="22:23">
      <c r="V1422" s="4" t="s">
        <v>442</v>
      </c>
      <c r="W1422" s="4" t="s">
        <v>1875</v>
      </c>
    </row>
    <row r="1423" spans="22:23">
      <c r="V1423" s="4" t="s">
        <v>442</v>
      </c>
      <c r="W1423" s="4" t="s">
        <v>1876</v>
      </c>
    </row>
    <row r="1424" spans="22:23">
      <c r="V1424" s="4" t="s">
        <v>442</v>
      </c>
      <c r="W1424" s="4" t="s">
        <v>1877</v>
      </c>
    </row>
    <row r="1425" spans="22:23">
      <c r="V1425" s="4" t="s">
        <v>442</v>
      </c>
      <c r="W1425" s="4" t="s">
        <v>1878</v>
      </c>
    </row>
    <row r="1426" spans="22:23">
      <c r="V1426" s="4" t="s">
        <v>442</v>
      </c>
      <c r="W1426" s="4" t="s">
        <v>1879</v>
      </c>
    </row>
    <row r="1427" spans="22:23">
      <c r="V1427" s="4" t="s">
        <v>442</v>
      </c>
      <c r="W1427" s="4" t="s">
        <v>1880</v>
      </c>
    </row>
    <row r="1428" spans="22:23">
      <c r="V1428" s="4" t="s">
        <v>442</v>
      </c>
      <c r="W1428" s="4" t="s">
        <v>1881</v>
      </c>
    </row>
    <row r="1429" spans="22:23">
      <c r="V1429" s="4" t="s">
        <v>442</v>
      </c>
      <c r="W1429" s="4" t="s">
        <v>1882</v>
      </c>
    </row>
    <row r="1430" spans="22:23">
      <c r="V1430" s="4" t="s">
        <v>442</v>
      </c>
      <c r="W1430" s="4" t="s">
        <v>1883</v>
      </c>
    </row>
    <row r="1431" spans="22:23">
      <c r="V1431" s="4" t="s">
        <v>442</v>
      </c>
      <c r="W1431" s="4" t="s">
        <v>1884</v>
      </c>
    </row>
    <row r="1432" spans="22:23">
      <c r="V1432" s="4" t="s">
        <v>442</v>
      </c>
      <c r="W1432" s="4" t="s">
        <v>1885</v>
      </c>
    </row>
    <row r="1433" spans="22:23">
      <c r="V1433" s="4" t="s">
        <v>442</v>
      </c>
      <c r="W1433" s="4" t="s">
        <v>1886</v>
      </c>
    </row>
    <row r="1434" spans="22:23">
      <c r="V1434" s="4" t="s">
        <v>442</v>
      </c>
      <c r="W1434" s="4" t="s">
        <v>1887</v>
      </c>
    </row>
    <row r="1435" spans="22:23">
      <c r="V1435" s="4" t="s">
        <v>442</v>
      </c>
      <c r="W1435" s="4" t="s">
        <v>443</v>
      </c>
    </row>
    <row r="1436" spans="22:23">
      <c r="V1436" s="4" t="s">
        <v>442</v>
      </c>
      <c r="W1436" s="4" t="s">
        <v>1888</v>
      </c>
    </row>
    <row r="1437" spans="22:23">
      <c r="V1437" s="4" t="s">
        <v>442</v>
      </c>
      <c r="W1437" s="4" t="s">
        <v>1889</v>
      </c>
    </row>
    <row r="1438" spans="22:23">
      <c r="V1438" s="4" t="s">
        <v>442</v>
      </c>
      <c r="W1438" s="4" t="s">
        <v>1890</v>
      </c>
    </row>
    <row r="1439" spans="22:23">
      <c r="V1439" s="4" t="s">
        <v>442</v>
      </c>
      <c r="W1439" s="4" t="s">
        <v>1891</v>
      </c>
    </row>
    <row r="1440" spans="22:23">
      <c r="V1440" s="4" t="s">
        <v>442</v>
      </c>
      <c r="W1440" s="4" t="s">
        <v>1892</v>
      </c>
    </row>
    <row r="1441" spans="22:23">
      <c r="V1441" s="4" t="s">
        <v>442</v>
      </c>
      <c r="W1441" s="4" t="s">
        <v>1893</v>
      </c>
    </row>
    <row r="1442" spans="22:23">
      <c r="V1442" s="4" t="s">
        <v>446</v>
      </c>
      <c r="W1442" s="4" t="s">
        <v>1894</v>
      </c>
    </row>
    <row r="1443" spans="22:23">
      <c r="V1443" s="4" t="s">
        <v>446</v>
      </c>
      <c r="W1443" s="4" t="s">
        <v>1895</v>
      </c>
    </row>
    <row r="1444" spans="22:23">
      <c r="V1444" s="4" t="s">
        <v>446</v>
      </c>
      <c r="W1444" s="4" t="s">
        <v>1896</v>
      </c>
    </row>
    <row r="1445" spans="22:23">
      <c r="V1445" s="4" t="s">
        <v>446</v>
      </c>
      <c r="W1445" s="4" t="s">
        <v>1897</v>
      </c>
    </row>
    <row r="1446" spans="22:23">
      <c r="V1446" s="4" t="s">
        <v>446</v>
      </c>
      <c r="W1446" s="4" t="s">
        <v>1898</v>
      </c>
    </row>
    <row r="1447" spans="22:23">
      <c r="V1447" s="4" t="s">
        <v>446</v>
      </c>
      <c r="W1447" s="4" t="s">
        <v>1899</v>
      </c>
    </row>
    <row r="1448" spans="22:23">
      <c r="V1448" s="4" t="s">
        <v>446</v>
      </c>
      <c r="W1448" s="4" t="s">
        <v>1900</v>
      </c>
    </row>
    <row r="1449" spans="22:23">
      <c r="V1449" s="4" t="s">
        <v>446</v>
      </c>
      <c r="W1449" s="4" t="s">
        <v>1901</v>
      </c>
    </row>
    <row r="1450" spans="22:23">
      <c r="V1450" s="4" t="s">
        <v>446</v>
      </c>
      <c r="W1450" s="4" t="s">
        <v>1902</v>
      </c>
    </row>
    <row r="1451" spans="22:23">
      <c r="V1451" s="4" t="s">
        <v>446</v>
      </c>
      <c r="W1451" s="4" t="s">
        <v>1903</v>
      </c>
    </row>
    <row r="1452" spans="22:23">
      <c r="V1452" s="4" t="s">
        <v>446</v>
      </c>
      <c r="W1452" s="4" t="s">
        <v>1904</v>
      </c>
    </row>
    <row r="1453" spans="22:23">
      <c r="V1453" s="4" t="s">
        <v>446</v>
      </c>
      <c r="W1453" s="4" t="s">
        <v>1905</v>
      </c>
    </row>
    <row r="1454" spans="22:23">
      <c r="V1454" s="4" t="s">
        <v>446</v>
      </c>
      <c r="W1454" s="4" t="s">
        <v>1906</v>
      </c>
    </row>
    <row r="1455" spans="22:23">
      <c r="V1455" s="4" t="s">
        <v>446</v>
      </c>
      <c r="W1455" s="4" t="s">
        <v>1907</v>
      </c>
    </row>
    <row r="1456" spans="22:23">
      <c r="V1456" s="4" t="s">
        <v>446</v>
      </c>
      <c r="W1456" s="4" t="s">
        <v>1908</v>
      </c>
    </row>
    <row r="1457" spans="22:23">
      <c r="V1457" s="4" t="s">
        <v>446</v>
      </c>
      <c r="W1457" s="4" t="s">
        <v>1909</v>
      </c>
    </row>
    <row r="1458" spans="22:23">
      <c r="V1458" s="4" t="s">
        <v>446</v>
      </c>
      <c r="W1458" s="4" t="s">
        <v>1910</v>
      </c>
    </row>
    <row r="1459" spans="22:23">
      <c r="V1459" s="4" t="s">
        <v>446</v>
      </c>
      <c r="W1459" s="4" t="s">
        <v>1911</v>
      </c>
    </row>
    <row r="1460" spans="22:23">
      <c r="V1460" s="4" t="s">
        <v>446</v>
      </c>
      <c r="W1460" s="4" t="s">
        <v>1912</v>
      </c>
    </row>
    <row r="1461" spans="22:23">
      <c r="V1461" s="4" t="s">
        <v>446</v>
      </c>
      <c r="W1461" s="4" t="s">
        <v>1913</v>
      </c>
    </row>
    <row r="1462" spans="22:23">
      <c r="V1462" s="4" t="s">
        <v>446</v>
      </c>
      <c r="W1462" s="4" t="s">
        <v>1914</v>
      </c>
    </row>
    <row r="1463" spans="22:23">
      <c r="V1463" s="4" t="s">
        <v>446</v>
      </c>
      <c r="W1463" s="4" t="s">
        <v>1915</v>
      </c>
    </row>
    <row r="1464" spans="22:23">
      <c r="V1464" s="4" t="s">
        <v>446</v>
      </c>
      <c r="W1464" s="4" t="s">
        <v>1916</v>
      </c>
    </row>
    <row r="1465" spans="22:23">
      <c r="V1465" s="4" t="s">
        <v>446</v>
      </c>
      <c r="W1465" s="4" t="s">
        <v>1917</v>
      </c>
    </row>
    <row r="1466" spans="22:23">
      <c r="V1466" s="4" t="s">
        <v>446</v>
      </c>
      <c r="W1466" s="4" t="s">
        <v>1918</v>
      </c>
    </row>
    <row r="1467" spans="22:23">
      <c r="V1467" s="4" t="s">
        <v>446</v>
      </c>
      <c r="W1467" s="4" t="s">
        <v>1919</v>
      </c>
    </row>
    <row r="1468" spans="22:23">
      <c r="V1468" s="4" t="s">
        <v>446</v>
      </c>
      <c r="W1468" s="4" t="s">
        <v>1920</v>
      </c>
    </row>
    <row r="1469" spans="22:23">
      <c r="V1469" s="4" t="s">
        <v>446</v>
      </c>
      <c r="W1469" s="4" t="s">
        <v>1921</v>
      </c>
    </row>
    <row r="1470" spans="22:23">
      <c r="V1470" s="4" t="s">
        <v>446</v>
      </c>
      <c r="W1470" s="4" t="s">
        <v>1922</v>
      </c>
    </row>
    <row r="1471" spans="22:23">
      <c r="V1471" s="4" t="s">
        <v>446</v>
      </c>
      <c r="W1471" s="4" t="s">
        <v>1923</v>
      </c>
    </row>
    <row r="1472" spans="22:23">
      <c r="V1472" s="4" t="s">
        <v>446</v>
      </c>
      <c r="W1472" s="4" t="s">
        <v>1924</v>
      </c>
    </row>
    <row r="1473" spans="22:23">
      <c r="V1473" s="4" t="s">
        <v>446</v>
      </c>
      <c r="W1473" s="4" t="s">
        <v>1925</v>
      </c>
    </row>
    <row r="1474" spans="22:23">
      <c r="V1474" s="4" t="s">
        <v>446</v>
      </c>
      <c r="W1474" s="4" t="s">
        <v>1926</v>
      </c>
    </row>
    <row r="1475" spans="22:23">
      <c r="V1475" s="4" t="s">
        <v>446</v>
      </c>
      <c r="W1475" s="4" t="s">
        <v>1927</v>
      </c>
    </row>
    <row r="1476" spans="22:23">
      <c r="V1476" s="4" t="s">
        <v>451</v>
      </c>
      <c r="W1476" s="4" t="s">
        <v>1267</v>
      </c>
    </row>
    <row r="1477" spans="22:23">
      <c r="V1477" s="4" t="s">
        <v>451</v>
      </c>
      <c r="W1477" s="4" t="s">
        <v>1928</v>
      </c>
    </row>
    <row r="1478" spans="22:23">
      <c r="V1478" s="4" t="s">
        <v>451</v>
      </c>
      <c r="W1478" s="4" t="s">
        <v>1929</v>
      </c>
    </row>
    <row r="1479" spans="22:23">
      <c r="V1479" s="4" t="s">
        <v>451</v>
      </c>
      <c r="W1479" s="4" t="s">
        <v>1930</v>
      </c>
    </row>
    <row r="1480" spans="22:23">
      <c r="V1480" s="4" t="s">
        <v>451</v>
      </c>
      <c r="W1480" s="4" t="s">
        <v>1931</v>
      </c>
    </row>
    <row r="1481" spans="22:23">
      <c r="V1481" s="4" t="s">
        <v>451</v>
      </c>
      <c r="W1481" s="4" t="s">
        <v>1268</v>
      </c>
    </row>
    <row r="1482" spans="22:23">
      <c r="V1482" s="4" t="s">
        <v>451</v>
      </c>
      <c r="W1482" s="4" t="s">
        <v>1932</v>
      </c>
    </row>
    <row r="1483" spans="22:23">
      <c r="V1483" s="4" t="s">
        <v>451</v>
      </c>
      <c r="W1483" s="4" t="s">
        <v>1933</v>
      </c>
    </row>
    <row r="1484" spans="22:23">
      <c r="V1484" s="4" t="s">
        <v>451</v>
      </c>
      <c r="W1484" s="4" t="s">
        <v>1934</v>
      </c>
    </row>
    <row r="1485" spans="22:23">
      <c r="V1485" s="4" t="s">
        <v>451</v>
      </c>
      <c r="W1485" s="4" t="s">
        <v>1935</v>
      </c>
    </row>
    <row r="1486" spans="22:23">
      <c r="V1486" s="4" t="s">
        <v>451</v>
      </c>
      <c r="W1486" s="4" t="s">
        <v>1936</v>
      </c>
    </row>
    <row r="1487" spans="22:23">
      <c r="V1487" s="4" t="s">
        <v>451</v>
      </c>
      <c r="W1487" s="4" t="s">
        <v>1937</v>
      </c>
    </row>
    <row r="1488" spans="22:23">
      <c r="V1488" s="4" t="s">
        <v>451</v>
      </c>
      <c r="W1488" s="4" t="s">
        <v>1938</v>
      </c>
    </row>
    <row r="1489" spans="22:23">
      <c r="V1489" s="4" t="s">
        <v>451</v>
      </c>
      <c r="W1489" s="4" t="s">
        <v>1939</v>
      </c>
    </row>
    <row r="1490" spans="22:23">
      <c r="V1490" s="4" t="s">
        <v>451</v>
      </c>
      <c r="W1490" s="4" t="s">
        <v>1940</v>
      </c>
    </row>
    <row r="1491" spans="22:23">
      <c r="V1491" s="4" t="s">
        <v>451</v>
      </c>
      <c r="W1491" s="4" t="s">
        <v>1270</v>
      </c>
    </row>
    <row r="1492" spans="22:23">
      <c r="V1492" s="4" t="s">
        <v>451</v>
      </c>
      <c r="W1492" s="4" t="s">
        <v>1941</v>
      </c>
    </row>
    <row r="1493" spans="22:23">
      <c r="V1493" s="4" t="s">
        <v>451</v>
      </c>
      <c r="W1493" s="4" t="s">
        <v>946</v>
      </c>
    </row>
    <row r="1494" spans="22:23">
      <c r="V1494" s="4" t="s">
        <v>451</v>
      </c>
      <c r="W1494" s="4" t="s">
        <v>1942</v>
      </c>
    </row>
    <row r="1495" spans="22:23">
      <c r="V1495" s="4" t="s">
        <v>451</v>
      </c>
      <c r="W1495" s="4" t="s">
        <v>948</v>
      </c>
    </row>
    <row r="1496" spans="22:23">
      <c r="V1496" s="4" t="s">
        <v>451</v>
      </c>
      <c r="W1496" s="4" t="s">
        <v>1272</v>
      </c>
    </row>
    <row r="1497" spans="22:23">
      <c r="V1497" s="4" t="s">
        <v>451</v>
      </c>
      <c r="W1497" s="4" t="s">
        <v>950</v>
      </c>
    </row>
    <row r="1498" spans="22:23">
      <c r="V1498" s="4" t="s">
        <v>451</v>
      </c>
      <c r="W1498" s="4" t="s">
        <v>1943</v>
      </c>
    </row>
    <row r="1499" spans="22:23">
      <c r="V1499" s="4" t="s">
        <v>451</v>
      </c>
      <c r="W1499" s="4" t="s">
        <v>1944</v>
      </c>
    </row>
    <row r="1500" spans="22:23">
      <c r="V1500" s="4" t="s">
        <v>451</v>
      </c>
      <c r="W1500" s="4" t="s">
        <v>1945</v>
      </c>
    </row>
    <row r="1501" spans="22:23">
      <c r="V1501" s="4" t="s">
        <v>451</v>
      </c>
      <c r="W1501" s="4" t="s">
        <v>1946</v>
      </c>
    </row>
    <row r="1502" spans="22:23">
      <c r="V1502" s="4" t="s">
        <v>451</v>
      </c>
      <c r="W1502" s="4" t="s">
        <v>1947</v>
      </c>
    </row>
    <row r="1503" spans="22:23">
      <c r="V1503" s="4" t="s">
        <v>451</v>
      </c>
      <c r="W1503" s="4" t="s">
        <v>952</v>
      </c>
    </row>
    <row r="1504" spans="22:23">
      <c r="V1504" s="4" t="s">
        <v>1948</v>
      </c>
      <c r="W1504" s="4" t="s">
        <v>1949</v>
      </c>
    </row>
    <row r="1505" spans="22:23">
      <c r="V1505" s="4" t="s">
        <v>451</v>
      </c>
      <c r="W1505" s="4" t="s">
        <v>1950</v>
      </c>
    </row>
    <row r="1506" spans="22:23">
      <c r="V1506" s="4" t="s">
        <v>451</v>
      </c>
      <c r="W1506" s="4" t="s">
        <v>1951</v>
      </c>
    </row>
    <row r="1507" spans="22:23">
      <c r="V1507" s="4" t="s">
        <v>451</v>
      </c>
      <c r="W1507" s="4" t="s">
        <v>1952</v>
      </c>
    </row>
    <row r="1508" spans="22:23">
      <c r="V1508" s="4" t="s">
        <v>451</v>
      </c>
      <c r="W1508" s="4" t="s">
        <v>1953</v>
      </c>
    </row>
    <row r="1509" spans="22:23">
      <c r="V1509" s="4" t="s">
        <v>451</v>
      </c>
      <c r="W1509" s="4" t="s">
        <v>1954</v>
      </c>
    </row>
    <row r="1510" spans="22:23">
      <c r="V1510" s="4" t="s">
        <v>451</v>
      </c>
      <c r="W1510" s="4" t="s">
        <v>1955</v>
      </c>
    </row>
    <row r="1511" spans="22:23">
      <c r="V1511" s="4" t="s">
        <v>451</v>
      </c>
      <c r="W1511" s="4" t="s">
        <v>956</v>
      </c>
    </row>
    <row r="1512" spans="22:23">
      <c r="V1512" s="4" t="s">
        <v>451</v>
      </c>
      <c r="W1512" s="4" t="s">
        <v>1956</v>
      </c>
    </row>
    <row r="1513" spans="22:23">
      <c r="V1513" s="4" t="s">
        <v>451</v>
      </c>
      <c r="W1513" s="4" t="s">
        <v>1957</v>
      </c>
    </row>
    <row r="1514" spans="22:23">
      <c r="V1514" s="4" t="s">
        <v>451</v>
      </c>
      <c r="W1514" s="4" t="s">
        <v>1958</v>
      </c>
    </row>
    <row r="1515" spans="22:23">
      <c r="V1515" s="4" t="s">
        <v>451</v>
      </c>
      <c r="W1515" s="4" t="s">
        <v>1959</v>
      </c>
    </row>
    <row r="1516" spans="22:23">
      <c r="V1516" s="4" t="s">
        <v>451</v>
      </c>
      <c r="W1516" s="4" t="s">
        <v>1960</v>
      </c>
    </row>
    <row r="1517" spans="22:23">
      <c r="V1517" s="4" t="s">
        <v>451</v>
      </c>
      <c r="W1517" s="4" t="s">
        <v>1961</v>
      </c>
    </row>
    <row r="1518" spans="22:23">
      <c r="V1518" s="4" t="s">
        <v>451</v>
      </c>
      <c r="W1518" s="4" t="s">
        <v>1962</v>
      </c>
    </row>
    <row r="1519" spans="22:23">
      <c r="V1519" s="4" t="s">
        <v>451</v>
      </c>
      <c r="W1519" s="4" t="s">
        <v>1963</v>
      </c>
    </row>
    <row r="1520" spans="22:23">
      <c r="V1520" s="4" t="s">
        <v>451</v>
      </c>
      <c r="W1520" s="4" t="s">
        <v>1964</v>
      </c>
    </row>
    <row r="1521" spans="22:23">
      <c r="V1521" s="4" t="s">
        <v>451</v>
      </c>
      <c r="W1521" s="4" t="s">
        <v>1965</v>
      </c>
    </row>
    <row r="1522" spans="22:23">
      <c r="V1522" s="4" t="s">
        <v>451</v>
      </c>
      <c r="W1522" s="4" t="s">
        <v>1966</v>
      </c>
    </row>
    <row r="1523" spans="22:23">
      <c r="V1523" s="4" t="s">
        <v>451</v>
      </c>
      <c r="W1523" s="4" t="s">
        <v>1727</v>
      </c>
    </row>
    <row r="1524" spans="22:23">
      <c r="V1524" s="4" t="s">
        <v>451</v>
      </c>
      <c r="W1524" s="4" t="s">
        <v>1967</v>
      </c>
    </row>
    <row r="1525" spans="22:23">
      <c r="V1525" s="4" t="s">
        <v>451</v>
      </c>
      <c r="W1525" s="4" t="s">
        <v>1968</v>
      </c>
    </row>
    <row r="1526" spans="22:23">
      <c r="V1526" s="4" t="s">
        <v>451</v>
      </c>
      <c r="W1526" s="4" t="s">
        <v>1969</v>
      </c>
    </row>
    <row r="1527" spans="22:23">
      <c r="V1527" s="4" t="s">
        <v>451</v>
      </c>
      <c r="W1527" s="4" t="s">
        <v>953</v>
      </c>
    </row>
    <row r="1528" spans="22:23">
      <c r="V1528" s="4" t="s">
        <v>451</v>
      </c>
      <c r="W1528" s="4" t="s">
        <v>1970</v>
      </c>
    </row>
    <row r="1529" spans="22:23">
      <c r="V1529" s="4" t="s">
        <v>451</v>
      </c>
      <c r="W1529" s="4" t="s">
        <v>1971</v>
      </c>
    </row>
    <row r="1530" spans="22:23">
      <c r="V1530" s="4" t="s">
        <v>451</v>
      </c>
      <c r="W1530" s="4" t="s">
        <v>1972</v>
      </c>
    </row>
    <row r="1531" spans="22:23">
      <c r="V1531" s="4" t="s">
        <v>451</v>
      </c>
      <c r="W1531" s="4" t="s">
        <v>1973</v>
      </c>
    </row>
    <row r="1532" spans="22:23">
      <c r="V1532" s="4" t="s">
        <v>451</v>
      </c>
      <c r="W1532" s="4" t="s">
        <v>1974</v>
      </c>
    </row>
    <row r="1533" spans="22:23">
      <c r="V1533" s="4" t="s">
        <v>451</v>
      </c>
      <c r="W1533" s="4" t="s">
        <v>1975</v>
      </c>
    </row>
    <row r="1534" spans="22:23">
      <c r="V1534" s="4" t="s">
        <v>451</v>
      </c>
      <c r="W1534" s="4" t="s">
        <v>1976</v>
      </c>
    </row>
    <row r="1535" spans="22:23">
      <c r="V1535" s="4" t="s">
        <v>451</v>
      </c>
      <c r="W1535" s="4" t="s">
        <v>1977</v>
      </c>
    </row>
    <row r="1536" spans="22:23">
      <c r="V1536" s="4" t="s">
        <v>455</v>
      </c>
      <c r="W1536" s="4" t="s">
        <v>1978</v>
      </c>
    </row>
    <row r="1537" spans="22:23">
      <c r="V1537" s="4" t="s">
        <v>455</v>
      </c>
      <c r="W1537" s="4" t="s">
        <v>1979</v>
      </c>
    </row>
    <row r="1538" spans="22:23">
      <c r="V1538" s="4" t="s">
        <v>455</v>
      </c>
      <c r="W1538" s="4" t="s">
        <v>1980</v>
      </c>
    </row>
    <row r="1539" spans="22:23">
      <c r="V1539" s="4" t="s">
        <v>455</v>
      </c>
      <c r="W1539" s="4" t="s">
        <v>1981</v>
      </c>
    </row>
    <row r="1540" spans="22:23">
      <c r="V1540" s="4" t="s">
        <v>455</v>
      </c>
      <c r="W1540" s="4" t="s">
        <v>1982</v>
      </c>
    </row>
    <row r="1541" spans="22:23">
      <c r="V1541" s="4" t="s">
        <v>455</v>
      </c>
      <c r="W1541" s="4" t="s">
        <v>1983</v>
      </c>
    </row>
    <row r="1542" spans="22:23">
      <c r="V1542" s="4" t="s">
        <v>455</v>
      </c>
      <c r="W1542" s="4" t="s">
        <v>1984</v>
      </c>
    </row>
    <row r="1543" spans="22:23">
      <c r="V1543" s="4" t="s">
        <v>455</v>
      </c>
      <c r="W1543" s="4" t="s">
        <v>1985</v>
      </c>
    </row>
    <row r="1544" spans="22:23">
      <c r="V1544" s="4" t="s">
        <v>455</v>
      </c>
      <c r="W1544" s="4" t="s">
        <v>1986</v>
      </c>
    </row>
    <row r="1545" spans="22:23">
      <c r="V1545" s="4" t="s">
        <v>455</v>
      </c>
      <c r="W1545" s="4" t="s">
        <v>1987</v>
      </c>
    </row>
    <row r="1546" spans="22:23">
      <c r="V1546" s="4" t="s">
        <v>455</v>
      </c>
      <c r="W1546" s="4" t="s">
        <v>1988</v>
      </c>
    </row>
    <row r="1547" spans="22:23">
      <c r="V1547" s="4" t="s">
        <v>455</v>
      </c>
      <c r="W1547" s="4" t="s">
        <v>1989</v>
      </c>
    </row>
    <row r="1548" spans="22:23">
      <c r="V1548" s="4" t="s">
        <v>455</v>
      </c>
      <c r="W1548" s="4" t="s">
        <v>1990</v>
      </c>
    </row>
    <row r="1549" spans="22:23">
      <c r="V1549" s="4" t="s">
        <v>455</v>
      </c>
      <c r="W1549" s="4" t="s">
        <v>1991</v>
      </c>
    </row>
    <row r="1550" spans="22:23">
      <c r="V1550" s="4" t="s">
        <v>455</v>
      </c>
      <c r="W1550" s="4" t="s">
        <v>1992</v>
      </c>
    </row>
    <row r="1551" spans="22:23">
      <c r="V1551" s="4" t="s">
        <v>455</v>
      </c>
      <c r="W1551" s="4" t="s">
        <v>1993</v>
      </c>
    </row>
    <row r="1552" spans="22:23">
      <c r="V1552" s="4" t="s">
        <v>455</v>
      </c>
      <c r="W1552" s="4" t="s">
        <v>1994</v>
      </c>
    </row>
    <row r="1553" spans="22:23">
      <c r="V1553" s="4" t="s">
        <v>455</v>
      </c>
      <c r="W1553" s="4" t="s">
        <v>1995</v>
      </c>
    </row>
    <row r="1554" spans="22:23">
      <c r="V1554" s="4" t="s">
        <v>455</v>
      </c>
      <c r="W1554" s="4" t="s">
        <v>1996</v>
      </c>
    </row>
    <row r="1555" spans="22:23">
      <c r="V1555" s="4" t="s">
        <v>455</v>
      </c>
      <c r="W1555" s="4" t="s">
        <v>1997</v>
      </c>
    </row>
    <row r="1556" spans="22:23">
      <c r="V1556" s="4" t="s">
        <v>459</v>
      </c>
      <c r="W1556" s="4" t="s">
        <v>1274</v>
      </c>
    </row>
    <row r="1557" spans="22:23">
      <c r="V1557" s="4" t="s">
        <v>459</v>
      </c>
      <c r="W1557" s="4" t="s">
        <v>1998</v>
      </c>
    </row>
    <row r="1558" spans="22:23">
      <c r="V1558" s="4" t="s">
        <v>459</v>
      </c>
      <c r="W1558" s="4" t="s">
        <v>1999</v>
      </c>
    </row>
    <row r="1559" spans="22:23">
      <c r="V1559" s="4" t="s">
        <v>459</v>
      </c>
      <c r="W1559" s="4" t="s">
        <v>2000</v>
      </c>
    </row>
    <row r="1560" spans="22:23">
      <c r="V1560" s="4" t="s">
        <v>459</v>
      </c>
      <c r="W1560" s="4" t="s">
        <v>2001</v>
      </c>
    </row>
    <row r="1561" spans="22:23">
      <c r="V1561" s="4" t="s">
        <v>459</v>
      </c>
      <c r="W1561" s="4" t="s">
        <v>2002</v>
      </c>
    </row>
    <row r="1562" spans="22:23">
      <c r="V1562" s="4" t="s">
        <v>459</v>
      </c>
      <c r="W1562" s="4" t="s">
        <v>2003</v>
      </c>
    </row>
    <row r="1563" spans="22:23">
      <c r="V1563" s="4" t="s">
        <v>459</v>
      </c>
      <c r="W1563" s="4" t="s">
        <v>2004</v>
      </c>
    </row>
    <row r="1564" spans="22:23">
      <c r="V1564" s="4" t="s">
        <v>459</v>
      </c>
      <c r="W1564" s="4" t="s">
        <v>2005</v>
      </c>
    </row>
    <row r="1565" spans="22:23">
      <c r="V1565" s="4" t="s">
        <v>459</v>
      </c>
      <c r="W1565" s="4" t="s">
        <v>2006</v>
      </c>
    </row>
    <row r="1566" spans="22:23">
      <c r="V1566" s="4" t="s">
        <v>459</v>
      </c>
      <c r="W1566" s="4" t="s">
        <v>2007</v>
      </c>
    </row>
    <row r="1567" spans="22:23">
      <c r="V1567" s="4" t="s">
        <v>459</v>
      </c>
      <c r="W1567" s="4" t="s">
        <v>2008</v>
      </c>
    </row>
    <row r="1568" spans="22:23">
      <c r="V1568" s="4" t="s">
        <v>459</v>
      </c>
      <c r="W1568" s="4" t="s">
        <v>2009</v>
      </c>
    </row>
    <row r="1569" spans="22:23">
      <c r="V1569" s="4" t="s">
        <v>459</v>
      </c>
      <c r="W1569" s="4" t="s">
        <v>2010</v>
      </c>
    </row>
    <row r="1570" spans="22:23">
      <c r="V1570" s="4" t="s">
        <v>459</v>
      </c>
      <c r="W1570" s="4" t="s">
        <v>2011</v>
      </c>
    </row>
    <row r="1571" spans="22:23">
      <c r="V1571" s="4" t="s">
        <v>459</v>
      </c>
      <c r="W1571" s="4" t="s">
        <v>2012</v>
      </c>
    </row>
    <row r="1572" spans="22:23">
      <c r="V1572" s="4" t="s">
        <v>459</v>
      </c>
      <c r="W1572" s="4" t="s">
        <v>2013</v>
      </c>
    </row>
    <row r="1573" spans="22:23">
      <c r="V1573" s="4" t="s">
        <v>459</v>
      </c>
      <c r="W1573" s="4" t="s">
        <v>2014</v>
      </c>
    </row>
    <row r="1574" spans="22:23">
      <c r="V1574" s="4" t="s">
        <v>459</v>
      </c>
      <c r="W1574" s="4" t="s">
        <v>2015</v>
      </c>
    </row>
    <row r="1575" spans="22:23">
      <c r="V1575" s="4" t="s">
        <v>459</v>
      </c>
      <c r="W1575" s="4" t="s">
        <v>2016</v>
      </c>
    </row>
    <row r="1576" spans="22:23">
      <c r="V1576" s="4" t="s">
        <v>459</v>
      </c>
      <c r="W1576" s="4" t="s">
        <v>2017</v>
      </c>
    </row>
    <row r="1577" spans="22:23">
      <c r="V1577" s="4" t="s">
        <v>463</v>
      </c>
      <c r="W1577" s="4" t="s">
        <v>2018</v>
      </c>
    </row>
    <row r="1578" spans="22:23">
      <c r="V1578" s="4" t="s">
        <v>463</v>
      </c>
      <c r="W1578" s="4" t="s">
        <v>2019</v>
      </c>
    </row>
    <row r="1579" spans="22:23">
      <c r="V1579" s="4" t="s">
        <v>463</v>
      </c>
      <c r="W1579" s="4" t="s">
        <v>2020</v>
      </c>
    </row>
    <row r="1580" spans="22:23">
      <c r="V1580" s="4" t="s">
        <v>463</v>
      </c>
      <c r="W1580" s="4" t="s">
        <v>2021</v>
      </c>
    </row>
    <row r="1581" spans="22:23">
      <c r="V1581" s="4" t="s">
        <v>463</v>
      </c>
      <c r="W1581" s="4" t="s">
        <v>2022</v>
      </c>
    </row>
    <row r="1582" spans="22:23">
      <c r="V1582" s="4" t="s">
        <v>463</v>
      </c>
      <c r="W1582" s="4" t="s">
        <v>2023</v>
      </c>
    </row>
    <row r="1583" spans="22:23">
      <c r="V1583" s="4" t="s">
        <v>463</v>
      </c>
      <c r="W1583" s="4" t="s">
        <v>2024</v>
      </c>
    </row>
    <row r="1584" spans="22:23">
      <c r="V1584" s="4" t="s">
        <v>463</v>
      </c>
      <c r="W1584" s="4" t="s">
        <v>2025</v>
      </c>
    </row>
    <row r="1585" spans="22:23">
      <c r="V1585" s="4" t="s">
        <v>463</v>
      </c>
      <c r="W1585" s="4" t="s">
        <v>2026</v>
      </c>
    </row>
    <row r="1586" spans="22:23">
      <c r="V1586" s="4" t="s">
        <v>463</v>
      </c>
      <c r="W1586" s="4" t="s">
        <v>2027</v>
      </c>
    </row>
    <row r="1587" spans="22:23">
      <c r="V1587" s="4" t="s">
        <v>463</v>
      </c>
      <c r="W1587" s="4" t="s">
        <v>2028</v>
      </c>
    </row>
    <row r="1588" spans="22:23">
      <c r="V1588" s="4" t="s">
        <v>463</v>
      </c>
      <c r="W1588" s="4" t="s">
        <v>2029</v>
      </c>
    </row>
    <row r="1589" spans="22:23">
      <c r="V1589" s="4" t="s">
        <v>463</v>
      </c>
      <c r="W1589" s="4" t="s">
        <v>2030</v>
      </c>
    </row>
    <row r="1590" spans="22:23">
      <c r="V1590" s="4" t="s">
        <v>463</v>
      </c>
      <c r="W1590" s="4" t="s">
        <v>2031</v>
      </c>
    </row>
    <row r="1591" spans="22:23">
      <c r="V1591" s="4" t="s">
        <v>463</v>
      </c>
      <c r="W1591" s="4" t="s">
        <v>979</v>
      </c>
    </row>
    <row r="1592" spans="22:23">
      <c r="V1592" s="4" t="s">
        <v>463</v>
      </c>
      <c r="W1592" s="4" t="s">
        <v>2032</v>
      </c>
    </row>
    <row r="1593" spans="22:23">
      <c r="V1593" s="4" t="s">
        <v>463</v>
      </c>
      <c r="W1593" s="4" t="s">
        <v>2033</v>
      </c>
    </row>
    <row r="1594" spans="22:23">
      <c r="V1594" s="4" t="s">
        <v>463</v>
      </c>
      <c r="W1594" s="4" t="s">
        <v>2034</v>
      </c>
    </row>
    <row r="1595" spans="22:23">
      <c r="V1595" s="4" t="s">
        <v>463</v>
      </c>
      <c r="W1595" s="4" t="s">
        <v>2035</v>
      </c>
    </row>
    <row r="1596" spans="22:23">
      <c r="V1596" s="4" t="s">
        <v>463</v>
      </c>
      <c r="W1596" s="4" t="s">
        <v>2036</v>
      </c>
    </row>
    <row r="1597" spans="22:23">
      <c r="V1597" s="4" t="s">
        <v>463</v>
      </c>
      <c r="W1597" s="4" t="s">
        <v>2037</v>
      </c>
    </row>
    <row r="1598" spans="22:23">
      <c r="V1598" s="4" t="s">
        <v>463</v>
      </c>
      <c r="W1598" s="4" t="s">
        <v>2038</v>
      </c>
    </row>
    <row r="1599" spans="22:23">
      <c r="V1599" s="4" t="s">
        <v>463</v>
      </c>
      <c r="W1599" s="4" t="s">
        <v>1093</v>
      </c>
    </row>
    <row r="1600" spans="22:23">
      <c r="V1600" s="4" t="s">
        <v>463</v>
      </c>
      <c r="W1600" s="4" t="s">
        <v>2039</v>
      </c>
    </row>
    <row r="1601" spans="22:23">
      <c r="V1601" s="4" t="s">
        <v>463</v>
      </c>
      <c r="W1601" s="4" t="s">
        <v>1544</v>
      </c>
    </row>
    <row r="1602" spans="22:23">
      <c r="V1602" s="4" t="s">
        <v>463</v>
      </c>
      <c r="W1602" s="4" t="s">
        <v>2040</v>
      </c>
    </row>
    <row r="1603" spans="22:23">
      <c r="V1603" s="4" t="s">
        <v>463</v>
      </c>
      <c r="W1603" s="4" t="s">
        <v>2041</v>
      </c>
    </row>
    <row r="1604" spans="22:23">
      <c r="V1604" s="4" t="s">
        <v>463</v>
      </c>
      <c r="W1604" s="4" t="s">
        <v>2042</v>
      </c>
    </row>
    <row r="1605" spans="22:23">
      <c r="V1605" s="4" t="s">
        <v>463</v>
      </c>
      <c r="W1605" s="4" t="s">
        <v>2043</v>
      </c>
    </row>
    <row r="1606" spans="22:23">
      <c r="V1606" s="4" t="s">
        <v>463</v>
      </c>
      <c r="W1606" s="4" t="s">
        <v>2044</v>
      </c>
    </row>
    <row r="1607" spans="22:23">
      <c r="V1607" s="4" t="s">
        <v>463</v>
      </c>
      <c r="W1607" s="4" t="s">
        <v>2045</v>
      </c>
    </row>
    <row r="1608" spans="22:23">
      <c r="V1608" s="4" t="s">
        <v>463</v>
      </c>
      <c r="W1608" s="4" t="s">
        <v>2046</v>
      </c>
    </row>
    <row r="1609" spans="22:23">
      <c r="V1609" s="4" t="s">
        <v>463</v>
      </c>
      <c r="W1609" s="4" t="s">
        <v>2047</v>
      </c>
    </row>
    <row r="1610" spans="22:23">
      <c r="V1610" s="4" t="s">
        <v>463</v>
      </c>
      <c r="W1610" s="4" t="s">
        <v>2048</v>
      </c>
    </row>
    <row r="1611" spans="22:23">
      <c r="V1611" s="4" t="s">
        <v>463</v>
      </c>
      <c r="W1611" s="4" t="s">
        <v>2049</v>
      </c>
    </row>
    <row r="1612" spans="22:23">
      <c r="V1612" s="4" t="s">
        <v>463</v>
      </c>
      <c r="W1612" s="4" t="s">
        <v>2050</v>
      </c>
    </row>
    <row r="1613" spans="22:23">
      <c r="V1613" s="4" t="s">
        <v>463</v>
      </c>
      <c r="W1613" s="4" t="s">
        <v>2051</v>
      </c>
    </row>
    <row r="1614" spans="22:23">
      <c r="V1614" s="4" t="s">
        <v>463</v>
      </c>
      <c r="W1614" s="4" t="s">
        <v>2052</v>
      </c>
    </row>
    <row r="1615" spans="22:23">
      <c r="V1615" s="4" t="s">
        <v>463</v>
      </c>
      <c r="W1615" s="4" t="s">
        <v>2053</v>
      </c>
    </row>
    <row r="1616" spans="22:23">
      <c r="V1616" s="4" t="s">
        <v>463</v>
      </c>
      <c r="W1616" s="4" t="s">
        <v>2054</v>
      </c>
    </row>
    <row r="1617" spans="22:23">
      <c r="V1617" s="4" t="s">
        <v>463</v>
      </c>
      <c r="W1617" s="4" t="s">
        <v>2055</v>
      </c>
    </row>
    <row r="1618" spans="22:23">
      <c r="V1618" s="4" t="s">
        <v>463</v>
      </c>
      <c r="W1618" s="4" t="s">
        <v>2056</v>
      </c>
    </row>
    <row r="1619" spans="22:23">
      <c r="V1619" s="4" t="s">
        <v>463</v>
      </c>
      <c r="W1619" s="4" t="s">
        <v>2057</v>
      </c>
    </row>
    <row r="1620" spans="22:23">
      <c r="V1620" s="4" t="s">
        <v>463</v>
      </c>
      <c r="W1620" s="4" t="s">
        <v>2058</v>
      </c>
    </row>
    <row r="1621" spans="22:23">
      <c r="V1621" s="4" t="s">
        <v>463</v>
      </c>
      <c r="W1621" s="4" t="s">
        <v>2059</v>
      </c>
    </row>
    <row r="1622" spans="22:23">
      <c r="V1622" s="4" t="s">
        <v>467</v>
      </c>
      <c r="W1622" s="4" t="s">
        <v>2060</v>
      </c>
    </row>
    <row r="1623" spans="22:23">
      <c r="V1623" s="4" t="s">
        <v>467</v>
      </c>
      <c r="W1623" s="4" t="s">
        <v>2061</v>
      </c>
    </row>
    <row r="1624" spans="22:23">
      <c r="V1624" s="4" t="s">
        <v>467</v>
      </c>
      <c r="W1624" s="4" t="s">
        <v>2062</v>
      </c>
    </row>
    <row r="1625" spans="22:23">
      <c r="V1625" s="4" t="s">
        <v>467</v>
      </c>
      <c r="W1625" s="4" t="s">
        <v>2063</v>
      </c>
    </row>
    <row r="1626" spans="22:23">
      <c r="V1626" s="4" t="s">
        <v>467</v>
      </c>
      <c r="W1626" s="4" t="s">
        <v>2064</v>
      </c>
    </row>
    <row r="1627" spans="22:23">
      <c r="V1627" s="4" t="s">
        <v>467</v>
      </c>
      <c r="W1627" s="4" t="s">
        <v>2065</v>
      </c>
    </row>
    <row r="1628" spans="22:23">
      <c r="V1628" s="4" t="s">
        <v>467</v>
      </c>
      <c r="W1628" s="4" t="s">
        <v>2066</v>
      </c>
    </row>
    <row r="1629" spans="22:23">
      <c r="V1629" s="4" t="s">
        <v>467</v>
      </c>
      <c r="W1629" s="4" t="s">
        <v>2067</v>
      </c>
    </row>
    <row r="1630" spans="22:23">
      <c r="V1630" s="4" t="s">
        <v>467</v>
      </c>
      <c r="W1630" s="4" t="s">
        <v>2068</v>
      </c>
    </row>
    <row r="1631" spans="22:23">
      <c r="V1631" s="4" t="s">
        <v>467</v>
      </c>
      <c r="W1631" s="4" t="s">
        <v>2069</v>
      </c>
    </row>
    <row r="1632" spans="22:23">
      <c r="V1632" s="4" t="s">
        <v>467</v>
      </c>
      <c r="W1632" s="4" t="s">
        <v>2070</v>
      </c>
    </row>
    <row r="1633" spans="22:23">
      <c r="V1633" s="4" t="s">
        <v>467</v>
      </c>
      <c r="W1633" s="4" t="s">
        <v>2071</v>
      </c>
    </row>
    <row r="1634" spans="22:23">
      <c r="V1634" s="4" t="s">
        <v>467</v>
      </c>
      <c r="W1634" s="4" t="s">
        <v>2072</v>
      </c>
    </row>
    <row r="1635" spans="22:23">
      <c r="V1635" s="4" t="s">
        <v>467</v>
      </c>
      <c r="W1635" s="4" t="s">
        <v>2073</v>
      </c>
    </row>
    <row r="1636" spans="22:23">
      <c r="V1636" s="4" t="s">
        <v>467</v>
      </c>
      <c r="W1636" s="4" t="s">
        <v>2074</v>
      </c>
    </row>
    <row r="1637" spans="22:23">
      <c r="V1637" s="4" t="s">
        <v>467</v>
      </c>
      <c r="W1637" s="4" t="s">
        <v>2075</v>
      </c>
    </row>
    <row r="1638" spans="22:23">
      <c r="V1638" s="4" t="s">
        <v>467</v>
      </c>
      <c r="W1638" s="4" t="s">
        <v>2076</v>
      </c>
    </row>
    <row r="1639" spans="22:23">
      <c r="V1639" s="4" t="s">
        <v>467</v>
      </c>
      <c r="W1639" s="4" t="s">
        <v>2077</v>
      </c>
    </row>
    <row r="1640" spans="22:23">
      <c r="V1640" s="4" t="s">
        <v>471</v>
      </c>
      <c r="W1640" s="4" t="s">
        <v>2078</v>
      </c>
    </row>
    <row r="1641" spans="22:23">
      <c r="V1641" s="4" t="s">
        <v>471</v>
      </c>
      <c r="W1641" s="4" t="s">
        <v>2079</v>
      </c>
    </row>
    <row r="1642" spans="22:23">
      <c r="V1642" s="4" t="s">
        <v>471</v>
      </c>
      <c r="W1642" s="4" t="s">
        <v>2080</v>
      </c>
    </row>
    <row r="1643" spans="22:23">
      <c r="V1643" s="4" t="s">
        <v>471</v>
      </c>
      <c r="W1643" s="4" t="s">
        <v>2081</v>
      </c>
    </row>
    <row r="1644" spans="22:23">
      <c r="V1644" s="4" t="s">
        <v>471</v>
      </c>
      <c r="W1644" s="4" t="s">
        <v>2082</v>
      </c>
    </row>
    <row r="1645" spans="22:23">
      <c r="V1645" s="4" t="s">
        <v>471</v>
      </c>
      <c r="W1645" s="4" t="s">
        <v>2083</v>
      </c>
    </row>
    <row r="1646" spans="22:23">
      <c r="V1646" s="4" t="s">
        <v>471</v>
      </c>
      <c r="W1646" s="4" t="s">
        <v>2084</v>
      </c>
    </row>
    <row r="1647" spans="22:23">
      <c r="V1647" s="4" t="s">
        <v>471</v>
      </c>
      <c r="W1647" s="4" t="s">
        <v>2085</v>
      </c>
    </row>
    <row r="1648" spans="22:23">
      <c r="V1648" s="4" t="s">
        <v>471</v>
      </c>
      <c r="W1648" s="4" t="s">
        <v>2086</v>
      </c>
    </row>
    <row r="1649" spans="22:23">
      <c r="V1649" s="4" t="s">
        <v>471</v>
      </c>
      <c r="W1649" s="4" t="s">
        <v>2087</v>
      </c>
    </row>
    <row r="1650" spans="22:23">
      <c r="V1650" s="4" t="s">
        <v>471</v>
      </c>
      <c r="W1650" s="4" t="s">
        <v>2088</v>
      </c>
    </row>
    <row r="1651" spans="22:23">
      <c r="V1651" s="4" t="s">
        <v>471</v>
      </c>
      <c r="W1651" s="4" t="s">
        <v>2089</v>
      </c>
    </row>
    <row r="1652" spans="22:23">
      <c r="V1652" s="4" t="s">
        <v>471</v>
      </c>
      <c r="W1652" s="4" t="s">
        <v>2090</v>
      </c>
    </row>
    <row r="1653" spans="22:23">
      <c r="V1653" s="4" t="s">
        <v>471</v>
      </c>
      <c r="W1653" s="4" t="s">
        <v>2091</v>
      </c>
    </row>
    <row r="1654" spans="22:23">
      <c r="V1654" s="4" t="s">
        <v>471</v>
      </c>
      <c r="W1654" s="4" t="s">
        <v>2092</v>
      </c>
    </row>
    <row r="1655" spans="22:23">
      <c r="V1655" s="4" t="s">
        <v>471</v>
      </c>
      <c r="W1655" s="4" t="s">
        <v>2093</v>
      </c>
    </row>
    <row r="1656" spans="22:23">
      <c r="V1656" s="4" t="s">
        <v>471</v>
      </c>
      <c r="W1656" s="4" t="s">
        <v>2094</v>
      </c>
    </row>
    <row r="1657" spans="22:23">
      <c r="V1657" s="4" t="s">
        <v>471</v>
      </c>
      <c r="W1657" s="4" t="s">
        <v>2095</v>
      </c>
    </row>
    <row r="1658" spans="22:23">
      <c r="V1658" s="4" t="s">
        <v>471</v>
      </c>
      <c r="W1658" s="4" t="s">
        <v>2096</v>
      </c>
    </row>
    <row r="1659" spans="22:23">
      <c r="V1659" s="4" t="s">
        <v>471</v>
      </c>
      <c r="W1659" s="4" t="s">
        <v>2097</v>
      </c>
    </row>
    <row r="1660" spans="22:23">
      <c r="V1660" s="4" t="s">
        <v>471</v>
      </c>
      <c r="W1660" s="4" t="s">
        <v>2098</v>
      </c>
    </row>
    <row r="1661" spans="22:23">
      <c r="V1661" s="4" t="s">
        <v>471</v>
      </c>
      <c r="W1661" s="4" t="s">
        <v>2099</v>
      </c>
    </row>
    <row r="1662" spans="22:23">
      <c r="V1662" s="4" t="s">
        <v>471</v>
      </c>
      <c r="W1662" s="4" t="s">
        <v>1029</v>
      </c>
    </row>
    <row r="1663" spans="22:23">
      <c r="V1663" s="4" t="s">
        <v>471</v>
      </c>
      <c r="W1663" s="4" t="s">
        <v>2100</v>
      </c>
    </row>
    <row r="1664" spans="22:23">
      <c r="V1664" s="4" t="s">
        <v>471</v>
      </c>
      <c r="W1664" s="4" t="s">
        <v>2101</v>
      </c>
    </row>
    <row r="1665" spans="22:23">
      <c r="V1665" s="4" t="s">
        <v>471</v>
      </c>
      <c r="W1665" s="4" t="s">
        <v>2102</v>
      </c>
    </row>
    <row r="1666" spans="22:23">
      <c r="V1666" s="4" t="s">
        <v>476</v>
      </c>
      <c r="W1666" s="4" t="s">
        <v>2103</v>
      </c>
    </row>
    <row r="1667" spans="22:23">
      <c r="V1667" s="4" t="s">
        <v>476</v>
      </c>
      <c r="W1667" s="4" t="s">
        <v>2104</v>
      </c>
    </row>
    <row r="1668" spans="22:23">
      <c r="V1668" s="4" t="s">
        <v>476</v>
      </c>
      <c r="W1668" s="4" t="s">
        <v>2105</v>
      </c>
    </row>
    <row r="1669" spans="22:23">
      <c r="V1669" s="4" t="s">
        <v>476</v>
      </c>
      <c r="W1669" s="4" t="s">
        <v>2106</v>
      </c>
    </row>
    <row r="1670" spans="22:23">
      <c r="V1670" s="4" t="s">
        <v>476</v>
      </c>
      <c r="W1670" s="4" t="s">
        <v>2107</v>
      </c>
    </row>
    <row r="1671" spans="22:23">
      <c r="V1671" s="4" t="s">
        <v>476</v>
      </c>
      <c r="W1671" s="4" t="s">
        <v>2108</v>
      </c>
    </row>
    <row r="1672" spans="22:23">
      <c r="V1672" s="4" t="s">
        <v>476</v>
      </c>
      <c r="W1672" s="4" t="s">
        <v>2109</v>
      </c>
    </row>
    <row r="1673" spans="22:23">
      <c r="V1673" s="4" t="s">
        <v>476</v>
      </c>
      <c r="W1673" s="4" t="s">
        <v>2110</v>
      </c>
    </row>
    <row r="1674" spans="22:23">
      <c r="V1674" s="4" t="s">
        <v>476</v>
      </c>
      <c r="W1674" s="4" t="s">
        <v>2111</v>
      </c>
    </row>
    <row r="1675" spans="22:23">
      <c r="V1675" s="4" t="s">
        <v>476</v>
      </c>
      <c r="W1675" s="4" t="s">
        <v>2112</v>
      </c>
    </row>
    <row r="1676" spans="22:23">
      <c r="V1676" s="4" t="s">
        <v>476</v>
      </c>
      <c r="W1676" s="4" t="s">
        <v>2113</v>
      </c>
    </row>
    <row r="1677" spans="22:23">
      <c r="V1677" s="4" t="s">
        <v>476</v>
      </c>
      <c r="W1677" s="4" t="s">
        <v>2114</v>
      </c>
    </row>
    <row r="1678" spans="22:23">
      <c r="V1678" s="4" t="s">
        <v>476</v>
      </c>
      <c r="W1678" s="4" t="s">
        <v>2115</v>
      </c>
    </row>
    <row r="1679" spans="22:23">
      <c r="V1679" s="4" t="s">
        <v>476</v>
      </c>
      <c r="W1679" s="4" t="s">
        <v>2116</v>
      </c>
    </row>
    <row r="1680" spans="22:23">
      <c r="V1680" s="4" t="s">
        <v>476</v>
      </c>
      <c r="W1680" s="4" t="s">
        <v>2117</v>
      </c>
    </row>
    <row r="1681" spans="22:23">
      <c r="V1681" s="4" t="s">
        <v>476</v>
      </c>
      <c r="W1681" s="4" t="s">
        <v>2118</v>
      </c>
    </row>
    <row r="1682" spans="22:23">
      <c r="V1682" s="4" t="s">
        <v>476</v>
      </c>
      <c r="W1682" s="4" t="s">
        <v>2119</v>
      </c>
    </row>
    <row r="1683" spans="22:23">
      <c r="V1683" s="4" t="s">
        <v>476</v>
      </c>
      <c r="W1683" s="4" t="s">
        <v>2120</v>
      </c>
    </row>
    <row r="1684" spans="22:23">
      <c r="V1684" s="4" t="s">
        <v>476</v>
      </c>
      <c r="W1684" s="4" t="s">
        <v>2121</v>
      </c>
    </row>
    <row r="1685" spans="22:23">
      <c r="V1685" s="4" t="s">
        <v>476</v>
      </c>
      <c r="W1685" s="4" t="s">
        <v>2122</v>
      </c>
    </row>
    <row r="1686" spans="22:23">
      <c r="V1686" s="4" t="s">
        <v>476</v>
      </c>
      <c r="W1686" s="4" t="s">
        <v>2123</v>
      </c>
    </row>
    <row r="1687" spans="22:23">
      <c r="V1687" s="4" t="s">
        <v>476</v>
      </c>
      <c r="W1687" s="4" t="s">
        <v>2124</v>
      </c>
    </row>
    <row r="1688" spans="22:23">
      <c r="V1688" s="4" t="s">
        <v>476</v>
      </c>
      <c r="W1688" s="4" t="s">
        <v>2125</v>
      </c>
    </row>
    <row r="1689" spans="22:23">
      <c r="V1689" s="4" t="s">
        <v>476</v>
      </c>
      <c r="W1689" s="4" t="s">
        <v>2126</v>
      </c>
    </row>
    <row r="1690" spans="22:23">
      <c r="V1690" s="4" t="s">
        <v>476</v>
      </c>
      <c r="W1690" s="4" t="s">
        <v>2127</v>
      </c>
    </row>
    <row r="1691" spans="22:23">
      <c r="V1691" s="4" t="s">
        <v>476</v>
      </c>
      <c r="W1691" s="4" t="s">
        <v>2128</v>
      </c>
    </row>
    <row r="1692" spans="22:23">
      <c r="V1692" s="4" t="s">
        <v>476</v>
      </c>
      <c r="W1692" s="4" t="s">
        <v>2129</v>
      </c>
    </row>
    <row r="1693" spans="22:23">
      <c r="V1693" s="4" t="s">
        <v>476</v>
      </c>
      <c r="W1693" s="4" t="s">
        <v>2130</v>
      </c>
    </row>
    <row r="1694" spans="22:23">
      <c r="V1694" s="4" t="s">
        <v>476</v>
      </c>
      <c r="W1694" s="4" t="s">
        <v>2131</v>
      </c>
    </row>
    <row r="1695" spans="22:23">
      <c r="V1695" s="4" t="s">
        <v>476</v>
      </c>
      <c r="W1695" s="4" t="s">
        <v>2132</v>
      </c>
    </row>
    <row r="1696" spans="22:23">
      <c r="V1696" s="4" t="s">
        <v>476</v>
      </c>
      <c r="W1696" s="4" t="s">
        <v>2133</v>
      </c>
    </row>
    <row r="1697" spans="22:23">
      <c r="V1697" s="4" t="s">
        <v>476</v>
      </c>
      <c r="W1697" s="4" t="s">
        <v>2134</v>
      </c>
    </row>
    <row r="1698" spans="22:23">
      <c r="V1698" s="4" t="s">
        <v>476</v>
      </c>
      <c r="W1698" s="4" t="s">
        <v>2135</v>
      </c>
    </row>
    <row r="1699" spans="22:23">
      <c r="V1699" s="4" t="s">
        <v>476</v>
      </c>
      <c r="W1699" s="4" t="s">
        <v>2136</v>
      </c>
    </row>
    <row r="1700" spans="22:23">
      <c r="V1700" s="4" t="s">
        <v>476</v>
      </c>
      <c r="W1700" s="4" t="s">
        <v>2137</v>
      </c>
    </row>
    <row r="1701" spans="22:23">
      <c r="V1701" s="4" t="s">
        <v>476</v>
      </c>
      <c r="W1701" s="4" t="s">
        <v>2138</v>
      </c>
    </row>
    <row r="1702" spans="22:23">
      <c r="V1702" s="4" t="s">
        <v>476</v>
      </c>
      <c r="W1702" s="4" t="s">
        <v>2139</v>
      </c>
    </row>
    <row r="1703" spans="22:23">
      <c r="V1703" s="4" t="s">
        <v>476</v>
      </c>
      <c r="W1703" s="4" t="s">
        <v>2140</v>
      </c>
    </row>
    <row r="1704" spans="22:23">
      <c r="V1704" s="4" t="s">
        <v>476</v>
      </c>
      <c r="W1704" s="4" t="s">
        <v>2141</v>
      </c>
    </row>
    <row r="1705" spans="22:23">
      <c r="V1705" s="4" t="s">
        <v>476</v>
      </c>
      <c r="W1705" s="4" t="s">
        <v>2142</v>
      </c>
    </row>
    <row r="1706" spans="22:23">
      <c r="V1706" s="4" t="s">
        <v>476</v>
      </c>
      <c r="W1706" s="4" t="s">
        <v>2143</v>
      </c>
    </row>
    <row r="1707" spans="22:23">
      <c r="V1707" s="4" t="s">
        <v>476</v>
      </c>
      <c r="W1707" s="4" t="s">
        <v>2144</v>
      </c>
    </row>
    <row r="1708" spans="22:23">
      <c r="V1708" s="4" t="s">
        <v>476</v>
      </c>
      <c r="W1708" s="4" t="s">
        <v>2145</v>
      </c>
    </row>
    <row r="1709" spans="22:23">
      <c r="V1709" s="4" t="s">
        <v>479</v>
      </c>
      <c r="W1709" s="4" t="s">
        <v>2146</v>
      </c>
    </row>
    <row r="1710" spans="22:23">
      <c r="V1710" s="4" t="s">
        <v>479</v>
      </c>
      <c r="W1710" s="4" t="s">
        <v>2147</v>
      </c>
    </row>
    <row r="1711" spans="22:23">
      <c r="V1711" s="4" t="s">
        <v>479</v>
      </c>
      <c r="W1711" s="4" t="s">
        <v>2148</v>
      </c>
    </row>
    <row r="1712" spans="22:23">
      <c r="V1712" s="4" t="s">
        <v>479</v>
      </c>
      <c r="W1712" s="4" t="s">
        <v>2149</v>
      </c>
    </row>
    <row r="1713" spans="22:23">
      <c r="V1713" s="4" t="s">
        <v>479</v>
      </c>
      <c r="W1713" s="4" t="s">
        <v>2150</v>
      </c>
    </row>
    <row r="1714" spans="22:23">
      <c r="V1714" s="4" t="s">
        <v>479</v>
      </c>
      <c r="W1714" s="4" t="s">
        <v>2151</v>
      </c>
    </row>
    <row r="1715" spans="22:23">
      <c r="V1715" s="4" t="s">
        <v>479</v>
      </c>
      <c r="W1715" s="4" t="s">
        <v>2152</v>
      </c>
    </row>
    <row r="1716" spans="22:23">
      <c r="V1716" s="4" t="s">
        <v>479</v>
      </c>
      <c r="W1716" s="4" t="s">
        <v>2153</v>
      </c>
    </row>
    <row r="1717" spans="22:23">
      <c r="V1717" s="4" t="s">
        <v>479</v>
      </c>
      <c r="W1717" s="4" t="s">
        <v>2154</v>
      </c>
    </row>
    <row r="1718" spans="22:23">
      <c r="V1718" s="4" t="s">
        <v>479</v>
      </c>
      <c r="W1718" s="4" t="s">
        <v>2155</v>
      </c>
    </row>
    <row r="1719" spans="22:23">
      <c r="V1719" s="4" t="s">
        <v>479</v>
      </c>
      <c r="W1719" s="4" t="s">
        <v>2156</v>
      </c>
    </row>
    <row r="1720" spans="22:23">
      <c r="V1720" s="4" t="s">
        <v>479</v>
      </c>
      <c r="W1720" s="4" t="s">
        <v>2157</v>
      </c>
    </row>
    <row r="1721" spans="22:23">
      <c r="V1721" s="4" t="s">
        <v>479</v>
      </c>
      <c r="W1721" s="4" t="s">
        <v>2158</v>
      </c>
    </row>
    <row r="1722" spans="22:23">
      <c r="V1722" s="4" t="s">
        <v>479</v>
      </c>
      <c r="W1722" s="4" t="s">
        <v>2159</v>
      </c>
    </row>
    <row r="1723" spans="22:23">
      <c r="V1723" s="4" t="s">
        <v>479</v>
      </c>
      <c r="W1723" s="4" t="s">
        <v>2160</v>
      </c>
    </row>
    <row r="1724" spans="22:23">
      <c r="V1724" s="4" t="s">
        <v>479</v>
      </c>
      <c r="W1724" s="4" t="s">
        <v>2161</v>
      </c>
    </row>
    <row r="1725" spans="22:23">
      <c r="V1725" s="4" t="s">
        <v>479</v>
      </c>
      <c r="W1725" s="4" t="s">
        <v>2162</v>
      </c>
    </row>
    <row r="1726" spans="22:23">
      <c r="V1726" s="4" t="s">
        <v>479</v>
      </c>
      <c r="W1726" s="4" t="s">
        <v>2163</v>
      </c>
    </row>
    <row r="1727" spans="22:23">
      <c r="V1727" s="4" t="s">
        <v>479</v>
      </c>
      <c r="W1727" s="4" t="s">
        <v>2164</v>
      </c>
    </row>
    <row r="1728" spans="22:23">
      <c r="V1728" s="4" t="s">
        <v>479</v>
      </c>
      <c r="W1728" s="4" t="s">
        <v>2165</v>
      </c>
    </row>
    <row r="1729" spans="22:23">
      <c r="V1729" s="4" t="s">
        <v>479</v>
      </c>
      <c r="W1729" s="4" t="s">
        <v>2166</v>
      </c>
    </row>
    <row r="1730" spans="22:23">
      <c r="V1730" s="4" t="s">
        <v>479</v>
      </c>
      <c r="W1730" s="4" t="s">
        <v>2167</v>
      </c>
    </row>
    <row r="1731" spans="22:23">
      <c r="V1731" s="4" t="s">
        <v>479</v>
      </c>
      <c r="W1731" s="4" t="s">
        <v>2168</v>
      </c>
    </row>
    <row r="1732" spans="22:23">
      <c r="V1732" s="4" t="s">
        <v>479</v>
      </c>
      <c r="W1732" s="4" t="s">
        <v>2169</v>
      </c>
    </row>
    <row r="1733" spans="22:23">
      <c r="V1733" s="4" t="s">
        <v>479</v>
      </c>
      <c r="W1733" s="4" t="s">
        <v>2170</v>
      </c>
    </row>
    <row r="1734" spans="22:23">
      <c r="V1734" s="4" t="s">
        <v>479</v>
      </c>
      <c r="W1734" s="4" t="s">
        <v>2171</v>
      </c>
    </row>
    <row r="1735" spans="22:23">
      <c r="V1735" s="4" t="s">
        <v>479</v>
      </c>
      <c r="W1735" s="4" t="s">
        <v>2172</v>
      </c>
    </row>
    <row r="1736" spans="22:23">
      <c r="V1736" s="4" t="s">
        <v>479</v>
      </c>
      <c r="W1736" s="4" t="s">
        <v>2173</v>
      </c>
    </row>
    <row r="1737" spans="22:23">
      <c r="V1737" s="4" t="s">
        <v>479</v>
      </c>
      <c r="W1737" s="4" t="s">
        <v>2174</v>
      </c>
    </row>
    <row r="1738" spans="22:23">
      <c r="V1738" s="4" t="s">
        <v>479</v>
      </c>
      <c r="W1738" s="4" t="s">
        <v>2175</v>
      </c>
    </row>
    <row r="1739" spans="22:23">
      <c r="V1739" s="4" t="s">
        <v>479</v>
      </c>
      <c r="W1739" s="4" t="s">
        <v>2176</v>
      </c>
    </row>
    <row r="1740" spans="22:23">
      <c r="V1740" s="4" t="s">
        <v>479</v>
      </c>
      <c r="W1740" s="4" t="s">
        <v>2177</v>
      </c>
    </row>
    <row r="1741" spans="22:23">
      <c r="V1741" s="4" t="s">
        <v>479</v>
      </c>
      <c r="W1741" s="4" t="s">
        <v>2178</v>
      </c>
    </row>
    <row r="1742" spans="22:23">
      <c r="V1742" s="4" t="s">
        <v>479</v>
      </c>
      <c r="W1742" s="4" t="s">
        <v>2179</v>
      </c>
    </row>
    <row r="1743" spans="22:23">
      <c r="V1743" s="4" t="s">
        <v>479</v>
      </c>
      <c r="W1743" s="4" t="s">
        <v>2180</v>
      </c>
    </row>
    <row r="1744" spans="22:23">
      <c r="V1744" s="4" t="s">
        <v>479</v>
      </c>
      <c r="W1744" s="4" t="s">
        <v>2181</v>
      </c>
    </row>
    <row r="1745" spans="22:23">
      <c r="V1745" s="4" t="s">
        <v>479</v>
      </c>
      <c r="W1745" s="4" t="s">
        <v>2182</v>
      </c>
    </row>
    <row r="1746" spans="22:23">
      <c r="V1746" s="4" t="s">
        <v>479</v>
      </c>
      <c r="W1746" s="4" t="s">
        <v>2183</v>
      </c>
    </row>
    <row r="1747" spans="22:23">
      <c r="V1747" s="4" t="s">
        <v>479</v>
      </c>
      <c r="W1747" s="4" t="s">
        <v>2184</v>
      </c>
    </row>
    <row r="1748" spans="22:23">
      <c r="V1748" s="4" t="s">
        <v>479</v>
      </c>
      <c r="W1748" s="4" t="s">
        <v>2185</v>
      </c>
    </row>
    <row r="1749" spans="22:23" ht="14.25" thickBot="1">
      <c r="V1749" s="5" t="s">
        <v>479</v>
      </c>
      <c r="W1749" s="5" t="s">
        <v>2186</v>
      </c>
    </row>
  </sheetData>
  <sheetProtection algorithmName="SHA-512" hashValue="Myuy6RT1jJnPvIZvjbw8zrbbM3K816fLi6i0h7krRw9Lteyfbap4C5W2FrZ+IDH1S5QJBgtSzguFtWafOvi21w==" saltValue="y/Iv5ohvtsM7BuJQacDBpg=="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Props1.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2.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5713DF-67F2-421A-B467-23CE57B6BF52}">
  <ds:schemaRefs>
    <ds:schemaRef ds:uri="http://www.w3.org/XML/1998/namespace"/>
    <ds:schemaRef ds:uri="http://schemas.microsoft.com/office/2006/metadata/properties"/>
    <ds:schemaRef ds:uri="http://purl.org/dc/elements/1.1/"/>
    <ds:schemaRef ds:uri="http://purl.org/dc/dcmitype/"/>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3b7b391f-316a-4bc7-a585-b2bcaf106fac"/>
    <ds:schemaRef ds:uri="http://purl.org/dc/terms/"/>
  </ds:schemaRefs>
</ds:datastoreItem>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228</vt:i4>
      </vt:variant>
    </vt:vector>
  </HeadingPairs>
  <TitlesOfParts>
    <vt:vector size="234"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2026-08-03T23:21:27Z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